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codeName="ThisWorkbook" autoCompressPictures="0"/>
  <mc:AlternateContent xmlns:mc="http://schemas.openxmlformats.org/markup-compatibility/2006">
    <mc:Choice Requires="x15">
      <x15ac:absPath xmlns:x15ac="http://schemas.microsoft.com/office/spreadsheetml/2010/11/ac" url="C:\Users\bryceh\AppData\Roaming\OpenText\OTEdit\infohub_nzta_govt_nz-otcs\c54488436\"/>
    </mc:Choice>
  </mc:AlternateContent>
  <xr:revisionPtr revIDLastSave="0" documentId="13_ncr:1_{F441A213-D3DB-47B7-B38B-33F82D1E3D7F}" xr6:coauthVersionLast="47" xr6:coauthVersionMax="47" xr10:uidLastSave="{00000000-0000-0000-0000-000000000000}"/>
  <workbookProtection workbookAlgorithmName="SHA-512" workbookHashValue="4FFqvk7M1fSmmeKJ2fAeauao81WomOCWhMVgH3TtC7FqRaqKyt65Z6zjEph8h3WyDo1WeX68VwiHzH9PTDq08g==" workbookSaltValue="kQfBUBseYFDjwuncJCi/TQ==" workbookSpinCount="100000" lockStructure="1"/>
  <bookViews>
    <workbookView xWindow="-108" yWindow="-108" windowWidth="23256" windowHeight="14016" tabRatio="810" activeTab="4" xr2:uid="{00000000-000D-0000-FFFF-FFFF00000000}"/>
  </bookViews>
  <sheets>
    <sheet name="AST" sheetId="2" r:id="rId1"/>
    <sheet name="Benefits Framework" sheetId="3" state="hidden" r:id="rId2"/>
    <sheet name="Conversion" sheetId="4" state="hidden" r:id="rId3"/>
    <sheet name="W1 - Summary_Upload" sheetId="23" state="hidden" r:id="rId4"/>
    <sheet name="overview &amp; guide" sheetId="24" r:id="rId5"/>
    <sheet name="SP11-1" sheetId="25" r:id="rId6"/>
    <sheet name="SP11-2" sheetId="26" r:id="rId7"/>
    <sheet name="SP11-3 (1)" sheetId="27" r:id="rId8"/>
    <sheet name="SP11-3 (2)" sheetId="28" r:id="rId9"/>
    <sheet name="SP11-3 (3)" sheetId="29" r:id="rId10"/>
    <sheet name="SP11-4" sheetId="30" r:id="rId11"/>
    <sheet name="SP11-5" sheetId="31" r:id="rId12"/>
    <sheet name="SP11-6" sheetId="32" r:id="rId13"/>
    <sheet name="SP11-7" sheetId="33" r:id="rId14"/>
    <sheet name="SP11-8" sheetId="34" r:id="rId15"/>
    <sheet name="Tables NEW TABLES" sheetId="35" state="hidden" r:id="rId16"/>
    <sheet name="Cost Estimates" sheetId="18" r:id="rId17"/>
    <sheet name="Sensitivity" sheetId="19" r:id="rId18"/>
    <sheet name="Working" sheetId="20" r:id="rId19"/>
    <sheet name="Notes" sheetId="21" r:id="rId20"/>
  </sheets>
  <definedNames>
    <definedName name="_Ref45227424" localSheetId="12">'SP11-6'!$B$56</definedName>
    <definedName name="_sp111">'SP11-1'!$C$8</definedName>
    <definedName name="_sp112">'SP11-2'!$M$10</definedName>
    <definedName name="_sp1131">'SP11-3 (1)'!$K$8</definedName>
    <definedName name="_sp1132">'SP11-3 (2)'!$K$8</definedName>
    <definedName name="_sp1133">'SP11-3 (3)'!$K$8</definedName>
    <definedName name="_sp114">'SP11-4'!$N$7</definedName>
    <definedName name="_sp115">'SP11-5'!$I$9</definedName>
    <definedName name="_sp116">'SP11-6'!$E$8</definedName>
    <definedName name="_sp117">'SP11-7'!$E$10</definedName>
    <definedName name="_sp118">'SP11-8'!$E$10</definedName>
    <definedName name="_sp31">#REF!</definedName>
    <definedName name="_sp32">#REF!</definedName>
    <definedName name="_sp331">#REF!</definedName>
    <definedName name="_sp332">#REF!</definedName>
    <definedName name="_sp333">#REF!</definedName>
    <definedName name="_sp34">#REF!</definedName>
    <definedName name="_sp35">#REF!</definedName>
    <definedName name="_sp36">#REF!</definedName>
    <definedName name="_sp37">#REF!</definedName>
    <definedName name="_Toc149723404" localSheetId="15">'Tables NEW TABLES'!$A$15</definedName>
    <definedName name="_Toc149723405" localSheetId="15">'Tables NEW TABLES'!$A$51</definedName>
    <definedName name="_Toc149723406" localSheetId="15">'Tables NEW TABLES'!$A$82</definedName>
    <definedName name="_Toc149723407" localSheetId="15">'Tables NEW TABLES'!$A$118</definedName>
    <definedName name="_Toc149723408" localSheetId="15">'Tables NEW TABLES'!$A$154</definedName>
    <definedName name="_Toc149723409" localSheetId="15">'Tables NEW TABLES'!$A$189</definedName>
    <definedName name="_Toc18127489" localSheetId="15">'Tables NEW TABLES'!$A$16</definedName>
    <definedName name="_Toc18207243" localSheetId="15">'Tables NEW TABLES'!$B$16</definedName>
    <definedName name="_Toc18207244" localSheetId="15">'Tables NEW TABLES'!$A$33</definedName>
    <definedName name="_Toc18207246" localSheetId="15">'Tables NEW TABLES'!$A$68</definedName>
    <definedName name="_Toc18207247" localSheetId="15">'Tables NEW TABLES'!$A$69</definedName>
    <definedName name="_Toc18207248" localSheetId="15">'Tables NEW TABLES'!$A$83</definedName>
    <definedName name="_Toc18207249" localSheetId="15">'Tables NEW TABLES'!$A$100</definedName>
    <definedName name="_Toc18207251" localSheetId="15">'Tables NEW TABLES'!$A$136</definedName>
    <definedName name="_Toc18207253" localSheetId="15">'Tables NEW TABLES'!$A$171</definedName>
    <definedName name="_Toc18207255" localSheetId="15">'Tables NEW TABLES'!$A$206</definedName>
    <definedName name="OG">#REF!</definedName>
    <definedName name="_xlnm.Print_Area" localSheetId="4">'overview &amp; guide'!$B$2:$O$29</definedName>
    <definedName name="_xlnm.Print_Area" localSheetId="5">'SP11-1'!$A$2:$O$63</definedName>
    <definedName name="_xlnm.Print_Area" localSheetId="6">'SP11-2'!$A$2:$T$40</definedName>
    <definedName name="_xlnm.Print_Area" localSheetId="7">'SP11-3 (1)'!$A$2:$T$36</definedName>
    <definedName name="_xlnm.Print_Area" localSheetId="8">'SP11-3 (2)'!$A$2:$T$37</definedName>
    <definedName name="_xlnm.Print_Area" localSheetId="9">'SP11-3 (3)'!$A$2:$T$37</definedName>
    <definedName name="_xlnm.Print_Area" localSheetId="10">'SP11-4'!$A$2:$R$34</definedName>
    <definedName name="_xlnm.Print_Area" localSheetId="11">'SP11-5'!$A$2:$K$57</definedName>
    <definedName name="_xlnm.Print_Area" localSheetId="12">'SP11-6'!$A$2:$R$42</definedName>
    <definedName name="_xlnm.Print_Area" localSheetId="13">'SP11-7'!$A$2:$H$18</definedName>
    <definedName name="_xlnm.Print_Area" localSheetId="3">'W1 - Summary_Upload'!$A$1:$J$92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5" i="33" l="1"/>
  <c r="G11" i="33"/>
  <c r="E11" i="33"/>
  <c r="L36" i="35"/>
  <c r="M24" i="35"/>
  <c r="D15" i="31" s="1"/>
  <c r="L24" i="35"/>
  <c r="H37" i="31"/>
  <c r="H38" i="31"/>
  <c r="H39" i="31"/>
  <c r="H40" i="31"/>
  <c r="H41" i="31"/>
  <c r="H42" i="31"/>
  <c r="H36" i="31"/>
  <c r="H16" i="31"/>
  <c r="H17" i="31"/>
  <c r="H18" i="31"/>
  <c r="H19" i="31"/>
  <c r="H20" i="31"/>
  <c r="H21" i="31"/>
  <c r="H15" i="31"/>
  <c r="M25" i="35"/>
  <c r="D16" i="31" s="1"/>
  <c r="M26" i="35"/>
  <c r="M27" i="35"/>
  <c r="D18" i="31" s="1"/>
  <c r="M28" i="35"/>
  <c r="D19" i="31" s="1"/>
  <c r="M29" i="35"/>
  <c r="D20" i="31" s="1"/>
  <c r="M30" i="35"/>
  <c r="N30" i="35" s="1"/>
  <c r="O30" i="35" s="1"/>
  <c r="M33" i="35"/>
  <c r="D36" i="31" s="1"/>
  <c r="M34" i="35"/>
  <c r="N34" i="35" s="1"/>
  <c r="O34" i="35" s="1"/>
  <c r="M35" i="35"/>
  <c r="N35" i="35" s="1"/>
  <c r="O35" i="35" s="1"/>
  <c r="P35" i="35" s="1"/>
  <c r="M36" i="35"/>
  <c r="N36" i="35" s="1"/>
  <c r="O36" i="35" s="1"/>
  <c r="P36" i="35" s="1"/>
  <c r="M37" i="35"/>
  <c r="N37" i="35" s="1"/>
  <c r="O37" i="35" s="1"/>
  <c r="M38" i="35"/>
  <c r="N38" i="35" s="1"/>
  <c r="O38" i="35" s="1"/>
  <c r="M39" i="35"/>
  <c r="N39" i="35" s="1"/>
  <c r="O39" i="35" s="1"/>
  <c r="F42" i="31" s="1"/>
  <c r="D17" i="31"/>
  <c r="I19" i="35"/>
  <c r="M19" i="35"/>
  <c r="O19" i="35"/>
  <c r="L38" i="35"/>
  <c r="L37" i="35"/>
  <c r="L35" i="35"/>
  <c r="L34" i="35"/>
  <c r="L39" i="35" l="1"/>
  <c r="L33" i="35"/>
  <c r="P30" i="35"/>
  <c r="F40" i="31"/>
  <c r="P37" i="35"/>
  <c r="F37" i="31"/>
  <c r="P34" i="35"/>
  <c r="F41" i="31"/>
  <c r="P38" i="35"/>
  <c r="P39" i="35"/>
  <c r="D37" i="31"/>
  <c r="D41" i="31"/>
  <c r="F39" i="31"/>
  <c r="D40" i="31"/>
  <c r="F38" i="31"/>
  <c r="D39" i="31"/>
  <c r="D38" i="31"/>
  <c r="D42" i="31"/>
  <c r="N24" i="35"/>
  <c r="O24" i="35" s="1"/>
  <c r="P24" i="35" s="1"/>
  <c r="N29" i="35"/>
  <c r="O29" i="35" s="1"/>
  <c r="P29" i="35" s="1"/>
  <c r="N28" i="35"/>
  <c r="O28" i="35" s="1"/>
  <c r="P28" i="35" s="1"/>
  <c r="N27" i="35"/>
  <c r="O27" i="35" s="1"/>
  <c r="P27" i="35" s="1"/>
  <c r="D21" i="31"/>
  <c r="N26" i="35"/>
  <c r="O26" i="35" s="1"/>
  <c r="P26" i="35" s="1"/>
  <c r="N25" i="35"/>
  <c r="O25" i="35" s="1"/>
  <c r="P25" i="35" s="1"/>
  <c r="N33" i="35"/>
  <c r="F15" i="31" l="1"/>
  <c r="O33" i="35"/>
  <c r="P33" i="35" s="1"/>
  <c r="L25" i="35"/>
  <c r="L26" i="35"/>
  <c r="L27" i="35"/>
  <c r="L28" i="35"/>
  <c r="L29" i="35"/>
  <c r="L30" i="35"/>
  <c r="J36" i="32"/>
  <c r="N32" i="32"/>
  <c r="P32" i="32"/>
  <c r="L32" i="32"/>
  <c r="J32" i="32"/>
  <c r="F36" i="31" l="1"/>
  <c r="G27" i="2"/>
  <c r="G26" i="2" s="1"/>
  <c r="I26" i="2" s="1"/>
  <c r="F20" i="31" l="1"/>
  <c r="F16" i="31"/>
  <c r="F21" i="31"/>
  <c r="F17" i="31"/>
  <c r="F18" i="31"/>
  <c r="M21" i="35"/>
  <c r="A12" i="35"/>
  <c r="G15" i="29"/>
  <c r="H15" i="28"/>
  <c r="G14" i="27"/>
  <c r="F19" i="31" l="1"/>
  <c r="J26" i="32" l="1"/>
  <c r="F10" i="2" l="1"/>
  <c r="H222" i="35"/>
  <c r="G222" i="35"/>
  <c r="F222" i="35"/>
  <c r="E222" i="35"/>
  <c r="D222" i="35"/>
  <c r="C222" i="35"/>
  <c r="H221" i="35"/>
  <c r="G221" i="35"/>
  <c r="F221" i="35"/>
  <c r="E221" i="35"/>
  <c r="D221" i="35"/>
  <c r="C221" i="35"/>
  <c r="H220" i="35"/>
  <c r="G220" i="35"/>
  <c r="F220" i="35"/>
  <c r="E220" i="35"/>
  <c r="D220" i="35"/>
  <c r="C220" i="35"/>
  <c r="H219" i="35"/>
  <c r="G219" i="35"/>
  <c r="F219" i="35"/>
  <c r="E219" i="35"/>
  <c r="D219" i="35"/>
  <c r="C219" i="35"/>
  <c r="H218" i="35"/>
  <c r="G218" i="35"/>
  <c r="F218" i="35"/>
  <c r="E218" i="35"/>
  <c r="D218" i="35"/>
  <c r="C218" i="35"/>
  <c r="H217" i="35"/>
  <c r="G217" i="35"/>
  <c r="F217" i="35"/>
  <c r="E217" i="35"/>
  <c r="D217" i="35"/>
  <c r="C217" i="35"/>
  <c r="H216" i="35"/>
  <c r="G216" i="35"/>
  <c r="F216" i="35"/>
  <c r="E216" i="35"/>
  <c r="D216" i="35"/>
  <c r="C216" i="35"/>
  <c r="H215" i="35"/>
  <c r="G215" i="35"/>
  <c r="F215" i="35"/>
  <c r="E215" i="35"/>
  <c r="D215" i="35"/>
  <c r="C215" i="35"/>
  <c r="H214" i="35"/>
  <c r="G214" i="35"/>
  <c r="F214" i="35"/>
  <c r="E214" i="35"/>
  <c r="D214" i="35"/>
  <c r="C214" i="35"/>
  <c r="H213" i="35"/>
  <c r="G213" i="35"/>
  <c r="F213" i="35"/>
  <c r="E213" i="35"/>
  <c r="D213" i="35"/>
  <c r="C213" i="35"/>
  <c r="H212" i="35"/>
  <c r="G212" i="35"/>
  <c r="F212" i="35"/>
  <c r="E212" i="35"/>
  <c r="D212" i="35"/>
  <c r="C212" i="35"/>
  <c r="H211" i="35"/>
  <c r="G211" i="35"/>
  <c r="F211" i="35"/>
  <c r="E211" i="35"/>
  <c r="D211" i="35"/>
  <c r="C211" i="35"/>
  <c r="H210" i="35"/>
  <c r="G210" i="35"/>
  <c r="F210" i="35"/>
  <c r="E210" i="35"/>
  <c r="D210" i="35"/>
  <c r="C210" i="35"/>
  <c r="H205" i="35"/>
  <c r="G205" i="35"/>
  <c r="F205" i="35"/>
  <c r="E205" i="35"/>
  <c r="D205" i="35"/>
  <c r="C205" i="35"/>
  <c r="H204" i="35"/>
  <c r="G204" i="35"/>
  <c r="F204" i="35"/>
  <c r="E204" i="35"/>
  <c r="D204" i="35"/>
  <c r="C204" i="35"/>
  <c r="H203" i="35"/>
  <c r="G203" i="35"/>
  <c r="F203" i="35"/>
  <c r="E203" i="35"/>
  <c r="D203" i="35"/>
  <c r="C203" i="35"/>
  <c r="H202" i="35"/>
  <c r="G202" i="35"/>
  <c r="F202" i="35"/>
  <c r="E202" i="35"/>
  <c r="D202" i="35"/>
  <c r="C202" i="35"/>
  <c r="H201" i="35"/>
  <c r="G201" i="35"/>
  <c r="F201" i="35"/>
  <c r="E201" i="35"/>
  <c r="D201" i="35"/>
  <c r="C201" i="35"/>
  <c r="H200" i="35"/>
  <c r="G200" i="35"/>
  <c r="F200" i="35"/>
  <c r="E200" i="35"/>
  <c r="D200" i="35"/>
  <c r="C200" i="35"/>
  <c r="H199" i="35"/>
  <c r="G199" i="35"/>
  <c r="F199" i="35"/>
  <c r="E199" i="35"/>
  <c r="D199" i="35"/>
  <c r="C199" i="35"/>
  <c r="H198" i="35"/>
  <c r="G198" i="35"/>
  <c r="F198" i="35"/>
  <c r="E198" i="35"/>
  <c r="D198" i="35"/>
  <c r="C198" i="35"/>
  <c r="H197" i="35"/>
  <c r="G197" i="35"/>
  <c r="F197" i="35"/>
  <c r="E197" i="35"/>
  <c r="D197" i="35"/>
  <c r="C197" i="35"/>
  <c r="H196" i="35"/>
  <c r="G196" i="35"/>
  <c r="F196" i="35"/>
  <c r="E196" i="35"/>
  <c r="D196" i="35"/>
  <c r="C196" i="35"/>
  <c r="H195" i="35"/>
  <c r="G195" i="35"/>
  <c r="F195" i="35"/>
  <c r="E195" i="35"/>
  <c r="D195" i="35"/>
  <c r="C195" i="35"/>
  <c r="H194" i="35"/>
  <c r="G194" i="35"/>
  <c r="F194" i="35"/>
  <c r="E194" i="35"/>
  <c r="D194" i="35"/>
  <c r="C194" i="35"/>
  <c r="H193" i="35"/>
  <c r="G193" i="35"/>
  <c r="F193" i="35"/>
  <c r="E193" i="35"/>
  <c r="D193" i="35"/>
  <c r="C193" i="35"/>
  <c r="C175" i="35"/>
  <c r="H187" i="35"/>
  <c r="G187" i="35"/>
  <c r="F187" i="35"/>
  <c r="E187" i="35"/>
  <c r="D187" i="35"/>
  <c r="C187" i="35"/>
  <c r="H186" i="35"/>
  <c r="G186" i="35"/>
  <c r="F186" i="35"/>
  <c r="E186" i="35"/>
  <c r="D186" i="35"/>
  <c r="C186" i="35"/>
  <c r="H185" i="35"/>
  <c r="G185" i="35"/>
  <c r="F185" i="35"/>
  <c r="E185" i="35"/>
  <c r="D185" i="35"/>
  <c r="C185" i="35"/>
  <c r="H184" i="35"/>
  <c r="G184" i="35"/>
  <c r="F184" i="35"/>
  <c r="E184" i="35"/>
  <c r="D184" i="35"/>
  <c r="C184" i="35"/>
  <c r="H183" i="35"/>
  <c r="G183" i="35"/>
  <c r="F183" i="35"/>
  <c r="E183" i="35"/>
  <c r="D183" i="35"/>
  <c r="C183" i="35"/>
  <c r="H182" i="35"/>
  <c r="G182" i="35"/>
  <c r="F182" i="35"/>
  <c r="E182" i="35"/>
  <c r="D182" i="35"/>
  <c r="C182" i="35"/>
  <c r="H181" i="35"/>
  <c r="G181" i="35"/>
  <c r="F181" i="35"/>
  <c r="E181" i="35"/>
  <c r="D181" i="35"/>
  <c r="C181" i="35"/>
  <c r="H180" i="35"/>
  <c r="G180" i="35"/>
  <c r="F180" i="35"/>
  <c r="E180" i="35"/>
  <c r="D180" i="35"/>
  <c r="C180" i="35"/>
  <c r="H179" i="35"/>
  <c r="G179" i="35"/>
  <c r="F179" i="35"/>
  <c r="E179" i="35"/>
  <c r="D179" i="35"/>
  <c r="C179" i="35"/>
  <c r="H178" i="35"/>
  <c r="G178" i="35"/>
  <c r="F178" i="35"/>
  <c r="E178" i="35"/>
  <c r="D178" i="35"/>
  <c r="C178" i="35"/>
  <c r="H177" i="35"/>
  <c r="G177" i="35"/>
  <c r="F177" i="35"/>
  <c r="E177" i="35"/>
  <c r="D177" i="35"/>
  <c r="C177" i="35"/>
  <c r="H176" i="35"/>
  <c r="G176" i="35"/>
  <c r="F176" i="35"/>
  <c r="E176" i="35"/>
  <c r="D176" i="35"/>
  <c r="C176" i="35"/>
  <c r="H175" i="35"/>
  <c r="G175" i="35"/>
  <c r="F175" i="35"/>
  <c r="E175" i="35"/>
  <c r="D175" i="35"/>
  <c r="H170" i="35"/>
  <c r="G170" i="35"/>
  <c r="F170" i="35"/>
  <c r="E170" i="35"/>
  <c r="D170" i="35"/>
  <c r="C170" i="35"/>
  <c r="H169" i="35"/>
  <c r="G169" i="35"/>
  <c r="F169" i="35"/>
  <c r="E169" i="35"/>
  <c r="D169" i="35"/>
  <c r="C169" i="35"/>
  <c r="H168" i="35"/>
  <c r="G168" i="35"/>
  <c r="F168" i="35"/>
  <c r="E168" i="35"/>
  <c r="D168" i="35"/>
  <c r="C168" i="35"/>
  <c r="H167" i="35"/>
  <c r="G167" i="35"/>
  <c r="F167" i="35"/>
  <c r="E167" i="35"/>
  <c r="D167" i="35"/>
  <c r="C167" i="35"/>
  <c r="H166" i="35"/>
  <c r="G166" i="35"/>
  <c r="F166" i="35"/>
  <c r="E166" i="35"/>
  <c r="D166" i="35"/>
  <c r="C166" i="35"/>
  <c r="H165" i="35"/>
  <c r="G165" i="35"/>
  <c r="F165" i="35"/>
  <c r="E165" i="35"/>
  <c r="D165" i="35"/>
  <c r="C165" i="35"/>
  <c r="H164" i="35"/>
  <c r="G164" i="35"/>
  <c r="F164" i="35"/>
  <c r="E164" i="35"/>
  <c r="D164" i="35"/>
  <c r="C164" i="35"/>
  <c r="H163" i="35"/>
  <c r="G163" i="35"/>
  <c r="F163" i="35"/>
  <c r="E163" i="35"/>
  <c r="D163" i="35"/>
  <c r="C163" i="35"/>
  <c r="H162" i="35"/>
  <c r="G162" i="35"/>
  <c r="F162" i="35"/>
  <c r="E162" i="35"/>
  <c r="D162" i="35"/>
  <c r="C162" i="35"/>
  <c r="H161" i="35"/>
  <c r="G161" i="35"/>
  <c r="F161" i="35"/>
  <c r="E161" i="35"/>
  <c r="D161" i="35"/>
  <c r="C161" i="35"/>
  <c r="H160" i="35"/>
  <c r="G160" i="35"/>
  <c r="F160" i="35"/>
  <c r="E160" i="35"/>
  <c r="D160" i="35"/>
  <c r="C160" i="35"/>
  <c r="H159" i="35"/>
  <c r="G159" i="35"/>
  <c r="F159" i="35"/>
  <c r="E159" i="35"/>
  <c r="D159" i="35"/>
  <c r="C159" i="35"/>
  <c r="H158" i="35"/>
  <c r="G158" i="35"/>
  <c r="F158" i="35"/>
  <c r="E158" i="35"/>
  <c r="D158" i="35"/>
  <c r="C158" i="35"/>
  <c r="C140" i="35"/>
  <c r="C123" i="35"/>
  <c r="H152" i="35"/>
  <c r="G152" i="35"/>
  <c r="F152" i="35"/>
  <c r="E152" i="35"/>
  <c r="D152" i="35"/>
  <c r="C152" i="35"/>
  <c r="H151" i="35"/>
  <c r="G151" i="35"/>
  <c r="F151" i="35"/>
  <c r="E151" i="35"/>
  <c r="D151" i="35"/>
  <c r="C151" i="35"/>
  <c r="H150" i="35"/>
  <c r="G150" i="35"/>
  <c r="F150" i="35"/>
  <c r="E150" i="35"/>
  <c r="D150" i="35"/>
  <c r="C150" i="35"/>
  <c r="H149" i="35"/>
  <c r="G149" i="35"/>
  <c r="F149" i="35"/>
  <c r="E149" i="35"/>
  <c r="D149" i="35"/>
  <c r="C149" i="35"/>
  <c r="H148" i="35"/>
  <c r="G148" i="35"/>
  <c r="F148" i="35"/>
  <c r="E148" i="35"/>
  <c r="D148" i="35"/>
  <c r="C148" i="35"/>
  <c r="H147" i="35"/>
  <c r="G147" i="35"/>
  <c r="F147" i="35"/>
  <c r="E147" i="35"/>
  <c r="D147" i="35"/>
  <c r="C147" i="35"/>
  <c r="H146" i="35"/>
  <c r="G146" i="35"/>
  <c r="F146" i="35"/>
  <c r="E146" i="35"/>
  <c r="D146" i="35"/>
  <c r="C146" i="35"/>
  <c r="H145" i="35"/>
  <c r="G145" i="35"/>
  <c r="F145" i="35"/>
  <c r="E145" i="35"/>
  <c r="D145" i="35"/>
  <c r="C145" i="35"/>
  <c r="H144" i="35"/>
  <c r="G144" i="35"/>
  <c r="F144" i="35"/>
  <c r="E144" i="35"/>
  <c r="D144" i="35"/>
  <c r="C144" i="35"/>
  <c r="H143" i="35"/>
  <c r="G143" i="35"/>
  <c r="F143" i="35"/>
  <c r="E143" i="35"/>
  <c r="D143" i="35"/>
  <c r="C143" i="35"/>
  <c r="H142" i="35"/>
  <c r="G142" i="35"/>
  <c r="F142" i="35"/>
  <c r="E142" i="35"/>
  <c r="D142" i="35"/>
  <c r="C142" i="35"/>
  <c r="H141" i="35"/>
  <c r="G141" i="35"/>
  <c r="F141" i="35"/>
  <c r="E141" i="35"/>
  <c r="D141" i="35"/>
  <c r="C141" i="35"/>
  <c r="H140" i="35"/>
  <c r="G140" i="35"/>
  <c r="F140" i="35"/>
  <c r="E140" i="35"/>
  <c r="D140" i="35"/>
  <c r="H135" i="35"/>
  <c r="G135" i="35"/>
  <c r="F135" i="35"/>
  <c r="E135" i="35"/>
  <c r="D135" i="35"/>
  <c r="C135" i="35"/>
  <c r="H134" i="35"/>
  <c r="G134" i="35"/>
  <c r="F134" i="35"/>
  <c r="E134" i="35"/>
  <c r="D134" i="35"/>
  <c r="C134" i="35"/>
  <c r="H133" i="35"/>
  <c r="G133" i="35"/>
  <c r="F133" i="35"/>
  <c r="E133" i="35"/>
  <c r="D133" i="35"/>
  <c r="C133" i="35"/>
  <c r="H132" i="35"/>
  <c r="G132" i="35"/>
  <c r="F132" i="35"/>
  <c r="E132" i="35"/>
  <c r="D132" i="35"/>
  <c r="C132" i="35"/>
  <c r="H131" i="35"/>
  <c r="G131" i="35"/>
  <c r="F131" i="35"/>
  <c r="E131" i="35"/>
  <c r="D131" i="35"/>
  <c r="C131" i="35"/>
  <c r="H130" i="35"/>
  <c r="G130" i="35"/>
  <c r="F130" i="35"/>
  <c r="E130" i="35"/>
  <c r="D130" i="35"/>
  <c r="C130" i="35"/>
  <c r="H129" i="35"/>
  <c r="G129" i="35"/>
  <c r="F129" i="35"/>
  <c r="E129" i="35"/>
  <c r="D129" i="35"/>
  <c r="C129" i="35"/>
  <c r="H128" i="35"/>
  <c r="G128" i="35"/>
  <c r="F128" i="35"/>
  <c r="E128" i="35"/>
  <c r="D128" i="35"/>
  <c r="C128" i="35"/>
  <c r="H127" i="35"/>
  <c r="G127" i="35"/>
  <c r="F127" i="35"/>
  <c r="E127" i="35"/>
  <c r="D127" i="35"/>
  <c r="C127" i="35"/>
  <c r="H126" i="35"/>
  <c r="G126" i="35"/>
  <c r="F126" i="35"/>
  <c r="E126" i="35"/>
  <c r="D126" i="35"/>
  <c r="C126" i="35"/>
  <c r="H125" i="35"/>
  <c r="G125" i="35"/>
  <c r="F125" i="35"/>
  <c r="E125" i="35"/>
  <c r="D125" i="35"/>
  <c r="C125" i="35"/>
  <c r="H124" i="35"/>
  <c r="G124" i="35"/>
  <c r="F124" i="35"/>
  <c r="E124" i="35"/>
  <c r="D124" i="35"/>
  <c r="C124" i="35"/>
  <c r="H123" i="35"/>
  <c r="G123" i="35"/>
  <c r="F123" i="35"/>
  <c r="E123" i="35"/>
  <c r="D123" i="35"/>
  <c r="C116" i="35"/>
  <c r="C115" i="35"/>
  <c r="F110" i="35"/>
  <c r="H116" i="35"/>
  <c r="G116" i="35"/>
  <c r="F116" i="35"/>
  <c r="E116" i="35"/>
  <c r="D116" i="35"/>
  <c r="H115" i="35"/>
  <c r="G115" i="35"/>
  <c r="F115" i="35"/>
  <c r="E115" i="35"/>
  <c r="D115" i="35"/>
  <c r="H114" i="35"/>
  <c r="G114" i="35"/>
  <c r="F114" i="35"/>
  <c r="E114" i="35"/>
  <c r="D114" i="35"/>
  <c r="C114" i="35"/>
  <c r="H113" i="35"/>
  <c r="G113" i="35"/>
  <c r="F113" i="35"/>
  <c r="E113" i="35"/>
  <c r="D113" i="35"/>
  <c r="C113" i="35"/>
  <c r="H112" i="35"/>
  <c r="G112" i="35"/>
  <c r="F112" i="35"/>
  <c r="E112" i="35"/>
  <c r="D112" i="35"/>
  <c r="C112" i="35"/>
  <c r="H111" i="35"/>
  <c r="G111" i="35"/>
  <c r="F111" i="35"/>
  <c r="E111" i="35"/>
  <c r="D111" i="35"/>
  <c r="C111" i="35"/>
  <c r="H110" i="35"/>
  <c r="G110" i="35"/>
  <c r="E110" i="35"/>
  <c r="D110" i="35"/>
  <c r="C110" i="35"/>
  <c r="H109" i="35"/>
  <c r="G109" i="35"/>
  <c r="F109" i="35"/>
  <c r="E109" i="35"/>
  <c r="D109" i="35"/>
  <c r="C109" i="35"/>
  <c r="H108" i="35"/>
  <c r="G108" i="35"/>
  <c r="F108" i="35"/>
  <c r="E108" i="35"/>
  <c r="D108" i="35"/>
  <c r="C108" i="35"/>
  <c r="H107" i="35"/>
  <c r="G107" i="35"/>
  <c r="F107" i="35"/>
  <c r="E107" i="35"/>
  <c r="D107" i="35"/>
  <c r="C107" i="35"/>
  <c r="H106" i="35"/>
  <c r="G106" i="35"/>
  <c r="F106" i="35"/>
  <c r="E106" i="35"/>
  <c r="D106" i="35"/>
  <c r="C106" i="35"/>
  <c r="H105" i="35"/>
  <c r="G105" i="35"/>
  <c r="F105" i="35"/>
  <c r="E105" i="35"/>
  <c r="D105" i="35"/>
  <c r="C105" i="35"/>
  <c r="H104" i="35"/>
  <c r="G104" i="35"/>
  <c r="F104" i="35"/>
  <c r="E104" i="35"/>
  <c r="D104" i="35"/>
  <c r="C104" i="35"/>
  <c r="C87" i="35"/>
  <c r="H99" i="35"/>
  <c r="G99" i="35"/>
  <c r="F99" i="35"/>
  <c r="E99" i="35"/>
  <c r="D99" i="35"/>
  <c r="C99" i="35"/>
  <c r="H98" i="35"/>
  <c r="G98" i="35"/>
  <c r="F98" i="35"/>
  <c r="E98" i="35"/>
  <c r="D98" i="35"/>
  <c r="C98" i="35"/>
  <c r="H97" i="35"/>
  <c r="G97" i="35"/>
  <c r="F97" i="35"/>
  <c r="E97" i="35"/>
  <c r="D97" i="35"/>
  <c r="C97" i="35"/>
  <c r="H96" i="35"/>
  <c r="G96" i="35"/>
  <c r="F96" i="35"/>
  <c r="E96" i="35"/>
  <c r="D96" i="35"/>
  <c r="C96" i="35"/>
  <c r="H95" i="35"/>
  <c r="G95" i="35"/>
  <c r="F95" i="35"/>
  <c r="E95" i="35"/>
  <c r="D95" i="35"/>
  <c r="C95" i="35"/>
  <c r="H94" i="35"/>
  <c r="G94" i="35"/>
  <c r="F94" i="35"/>
  <c r="E94" i="35"/>
  <c r="D94" i="35"/>
  <c r="C94" i="35"/>
  <c r="H93" i="35"/>
  <c r="G93" i="35"/>
  <c r="F93" i="35"/>
  <c r="E93" i="35"/>
  <c r="D93" i="35"/>
  <c r="C93" i="35"/>
  <c r="H92" i="35"/>
  <c r="G92" i="35"/>
  <c r="F92" i="35"/>
  <c r="E92" i="35"/>
  <c r="D92" i="35"/>
  <c r="C92" i="35"/>
  <c r="H91" i="35"/>
  <c r="G91" i="35"/>
  <c r="F91" i="35"/>
  <c r="E91" i="35"/>
  <c r="D91" i="35"/>
  <c r="C91" i="35"/>
  <c r="H90" i="35"/>
  <c r="G90" i="35"/>
  <c r="F90" i="35"/>
  <c r="E90" i="35"/>
  <c r="D90" i="35"/>
  <c r="C90" i="35"/>
  <c r="H89" i="35"/>
  <c r="G89" i="35"/>
  <c r="F89" i="35"/>
  <c r="E89" i="35"/>
  <c r="D89" i="35"/>
  <c r="C89" i="35"/>
  <c r="H88" i="35"/>
  <c r="G88" i="35"/>
  <c r="F88" i="35"/>
  <c r="E88" i="35"/>
  <c r="D88" i="35"/>
  <c r="C88" i="35"/>
  <c r="H87" i="35"/>
  <c r="G87" i="35"/>
  <c r="F87" i="35"/>
  <c r="E87" i="35"/>
  <c r="D87" i="35"/>
  <c r="M87" i="35" l="1"/>
  <c r="J87" i="35"/>
  <c r="F290" i="35"/>
  <c r="F291" i="35"/>
  <c r="I285" i="35"/>
  <c r="I280" i="35" s="1"/>
  <c r="F289" i="35"/>
  <c r="F288" i="35"/>
  <c r="F287" i="35"/>
  <c r="F286" i="35"/>
  <c r="F285" i="35"/>
  <c r="F284" i="35"/>
  <c r="F283" i="35"/>
  <c r="I88" i="35"/>
  <c r="I87" i="35"/>
  <c r="E62" i="31"/>
  <c r="B4" i="4"/>
  <c r="B3" i="4"/>
  <c r="B1" i="4"/>
  <c r="F8" i="2"/>
  <c r="F12" i="2" s="1"/>
  <c r="B13" i="4" l="1"/>
  <c r="I89" i="35"/>
  <c r="J88" i="35" s="1"/>
  <c r="B12" i="4"/>
  <c r="B10" i="4"/>
  <c r="B11" i="4"/>
  <c r="F309" i="35"/>
  <c r="F310" i="35"/>
  <c r="F311" i="35"/>
  <c r="F312" i="35"/>
  <c r="F313" i="35"/>
  <c r="F314" i="35"/>
  <c r="F315" i="35"/>
  <c r="F316" i="35"/>
  <c r="F308" i="35"/>
  <c r="F297" i="35"/>
  <c r="F298" i="35"/>
  <c r="F299" i="35"/>
  <c r="F300" i="35"/>
  <c r="F301" i="35"/>
  <c r="F302" i="35"/>
  <c r="F303" i="35"/>
  <c r="F304" i="35"/>
  <c r="F296" i="35"/>
  <c r="N291" i="35"/>
  <c r="N284" i="35"/>
  <c r="N285" i="35"/>
  <c r="N286" i="35"/>
  <c r="N287" i="35"/>
  <c r="N288" i="35"/>
  <c r="N289" i="35"/>
  <c r="N290" i="35"/>
  <c r="N283" i="35"/>
  <c r="I282" i="35"/>
  <c r="H280" i="35"/>
  <c r="N280" i="35" s="1"/>
  <c r="J35" i="32" l="1"/>
  <c r="F11" i="33"/>
  <c r="E13" i="33" l="1"/>
  <c r="E18" i="33" l="1"/>
  <c r="E20" i="33" s="1"/>
  <c r="C48" i="32"/>
  <c r="C67" i="31"/>
  <c r="D54" i="32" l="1"/>
  <c r="D74" i="31"/>
  <c r="B12" i="35"/>
  <c r="C12" i="35" s="1"/>
  <c r="N15" i="30"/>
  <c r="Q17" i="27"/>
  <c r="C69" i="31"/>
  <c r="C74" i="31" s="1"/>
  <c r="B69" i="31"/>
  <c r="N18" i="32"/>
  <c r="C50" i="32"/>
  <c r="C54" i="32" s="1"/>
  <c r="B50" i="32"/>
  <c r="E54" i="32" l="1"/>
  <c r="E74" i="31"/>
  <c r="C3" i="2" l="1"/>
  <c r="F230" i="35"/>
  <c r="G283" i="35"/>
  <c r="O283" i="35"/>
  <c r="G284" i="35"/>
  <c r="O284" i="35"/>
  <c r="G285" i="35"/>
  <c r="O285" i="35"/>
  <c r="G286" i="35"/>
  <c r="J286" i="35" s="1"/>
  <c r="O286" i="35"/>
  <c r="G287" i="35"/>
  <c r="O287" i="35"/>
  <c r="G288" i="35"/>
  <c r="O288" i="35"/>
  <c r="G289" i="35"/>
  <c r="O289" i="35"/>
  <c r="G290" i="35"/>
  <c r="J290" i="35" s="1"/>
  <c r="O290" i="35"/>
  <c r="G291" i="35"/>
  <c r="H291" i="35" s="1"/>
  <c r="O291" i="35"/>
  <c r="G296" i="35"/>
  <c r="G297" i="35"/>
  <c r="G298" i="35"/>
  <c r="G299" i="35"/>
  <c r="G300" i="35"/>
  <c r="J300" i="35" s="1"/>
  <c r="G301" i="35"/>
  <c r="G302" i="35"/>
  <c r="H302" i="35" s="1"/>
  <c r="G303" i="35"/>
  <c r="G304" i="35"/>
  <c r="G308" i="35"/>
  <c r="G309" i="35"/>
  <c r="G310" i="35"/>
  <c r="G311" i="35"/>
  <c r="J311" i="35" s="1"/>
  <c r="G312" i="35"/>
  <c r="G313" i="35"/>
  <c r="H313" i="35" s="1"/>
  <c r="G314" i="35"/>
  <c r="G315" i="35"/>
  <c r="G316" i="35"/>
  <c r="E3" i="2"/>
  <c r="C70" i="31"/>
  <c r="C71" i="31"/>
  <c r="H287" i="35" l="1"/>
  <c r="H283" i="35"/>
  <c r="K283" i="35"/>
  <c r="K282" i="35"/>
  <c r="K280" i="35"/>
  <c r="K285" i="35"/>
  <c r="K279" i="35"/>
  <c r="B54" i="32" s="1"/>
  <c r="H284" i="35"/>
  <c r="Q291" i="35"/>
  <c r="P291" i="35"/>
  <c r="I303" i="35"/>
  <c r="H303" i="35"/>
  <c r="J303" i="35"/>
  <c r="Q287" i="35"/>
  <c r="P287" i="35"/>
  <c r="I314" i="35"/>
  <c r="H314" i="35"/>
  <c r="J314" i="35"/>
  <c r="G230" i="35"/>
  <c r="J17" i="32" s="1"/>
  <c r="J20" i="32"/>
  <c r="H285" i="35"/>
  <c r="P290" i="35"/>
  <c r="Q290" i="35"/>
  <c r="R290" i="35"/>
  <c r="I297" i="35"/>
  <c r="J297" i="35"/>
  <c r="H297" i="35"/>
  <c r="H310" i="35"/>
  <c r="I310" i="35"/>
  <c r="J310" i="35"/>
  <c r="H296" i="35"/>
  <c r="I296" i="35"/>
  <c r="J296" i="35"/>
  <c r="Q284" i="35"/>
  <c r="R284" i="35"/>
  <c r="P284" i="35"/>
  <c r="H315" i="35"/>
  <c r="J315" i="35"/>
  <c r="I315" i="35"/>
  <c r="I309" i="35"/>
  <c r="H309" i="35"/>
  <c r="J309" i="35"/>
  <c r="P289" i="35"/>
  <c r="Q289" i="35"/>
  <c r="R289" i="35"/>
  <c r="I298" i="35"/>
  <c r="H298" i="35"/>
  <c r="J298" i="35"/>
  <c r="I308" i="35"/>
  <c r="J308" i="35"/>
  <c r="H308" i="35"/>
  <c r="R286" i="35"/>
  <c r="P286" i="35"/>
  <c r="Q286" i="35"/>
  <c r="J304" i="35"/>
  <c r="H304" i="35"/>
  <c r="I304" i="35"/>
  <c r="Q288" i="35"/>
  <c r="R288" i="35"/>
  <c r="P288" i="35"/>
  <c r="J288" i="35"/>
  <c r="H288" i="35"/>
  <c r="I288" i="35"/>
  <c r="J301" i="35"/>
  <c r="H301" i="35"/>
  <c r="I301" i="35"/>
  <c r="H289" i="35"/>
  <c r="J289" i="35"/>
  <c r="I289" i="35"/>
  <c r="Q283" i="35"/>
  <c r="R283" i="35"/>
  <c r="P283" i="35"/>
  <c r="I316" i="35"/>
  <c r="J316" i="35"/>
  <c r="H316" i="35"/>
  <c r="I312" i="35"/>
  <c r="H312" i="35"/>
  <c r="J312" i="35"/>
  <c r="H299" i="35"/>
  <c r="I299" i="35"/>
  <c r="J299" i="35"/>
  <c r="P285" i="35"/>
  <c r="Q285" i="35"/>
  <c r="R285" i="35"/>
  <c r="I311" i="35"/>
  <c r="I300" i="35"/>
  <c r="R291" i="35"/>
  <c r="I290" i="35"/>
  <c r="R287" i="35"/>
  <c r="I286" i="35"/>
  <c r="H311" i="35"/>
  <c r="H300" i="35"/>
  <c r="H290" i="35"/>
  <c r="H286" i="35"/>
  <c r="J313" i="35"/>
  <c r="J302" i="35"/>
  <c r="J291" i="35"/>
  <c r="J287" i="35"/>
  <c r="I313" i="35"/>
  <c r="I302" i="35"/>
  <c r="I291" i="35"/>
  <c r="I287" i="35"/>
  <c r="H230" i="35"/>
  <c r="L17" i="32" s="1"/>
  <c r="B74" i="31" l="1"/>
  <c r="F74" i="31" s="1"/>
  <c r="G62" i="31" s="1"/>
  <c r="J62" i="31" s="1"/>
  <c r="B9" i="4"/>
  <c r="I125" i="35"/>
  <c r="J124" i="35" s="1"/>
  <c r="I195" i="35"/>
  <c r="J194" i="35" s="1"/>
  <c r="N34" i="32" s="1"/>
  <c r="I212" i="35"/>
  <c r="J211" i="35" s="1"/>
  <c r="P34" i="32" s="1"/>
  <c r="I177" i="35"/>
  <c r="J176" i="35" s="1"/>
  <c r="I106" i="35"/>
  <c r="J105" i="35" s="1"/>
  <c r="I160" i="35"/>
  <c r="J159" i="35" s="1"/>
  <c r="I142" i="35"/>
  <c r="J141" i="35" s="1"/>
  <c r="J34" i="32" l="1"/>
  <c r="J37" i="32" s="1"/>
  <c r="J24" i="32"/>
  <c r="L35" i="32"/>
  <c r="L34" i="32"/>
  <c r="N35" i="32"/>
  <c r="P35" i="32"/>
  <c r="B6" i="4"/>
  <c r="B5" i="4"/>
  <c r="G74" i="31"/>
  <c r="G26" i="31" s="1"/>
  <c r="J26" i="31" s="1"/>
  <c r="AD57" i="31"/>
  <c r="V75" i="25" s="1"/>
  <c r="G46" i="31"/>
  <c r="J46" i="31" s="1"/>
  <c r="G56" i="31"/>
  <c r="G52" i="31"/>
  <c r="C51" i="32"/>
  <c r="F54" i="32" s="1"/>
  <c r="H29" i="34"/>
  <c r="G29" i="34"/>
  <c r="I29" i="34" s="1"/>
  <c r="H28" i="34"/>
  <c r="G28" i="34"/>
  <c r="I28" i="34" s="1"/>
  <c r="I27" i="34"/>
  <c r="H27" i="34"/>
  <c r="G27" i="34"/>
  <c r="I26" i="34"/>
  <c r="H26" i="34"/>
  <c r="G26" i="34"/>
  <c r="F19" i="34"/>
  <c r="I17" i="34"/>
  <c r="I19" i="34" s="1"/>
  <c r="H17" i="34"/>
  <c r="H19" i="34" s="1"/>
  <c r="G17" i="34"/>
  <c r="G19" i="34" s="1"/>
  <c r="F17" i="34"/>
  <c r="E17" i="34"/>
  <c r="I13" i="34"/>
  <c r="H13" i="34"/>
  <c r="G13" i="34"/>
  <c r="F13" i="34"/>
  <c r="E13" i="34"/>
  <c r="F6" i="34"/>
  <c r="F5" i="34"/>
  <c r="H2" i="34"/>
  <c r="G2" i="33"/>
  <c r="P18" i="32"/>
  <c r="P19" i="32" s="1"/>
  <c r="N19" i="32"/>
  <c r="O2" i="32"/>
  <c r="AB57" i="31"/>
  <c r="Q75" i="25" s="1"/>
  <c r="AD53" i="31"/>
  <c r="V74" i="25" s="1"/>
  <c r="AD47" i="31"/>
  <c r="AA77" i="25" s="1"/>
  <c r="AB47" i="31"/>
  <c r="R77" i="25" s="1"/>
  <c r="AD27" i="31"/>
  <c r="AA75" i="25" s="1"/>
  <c r="AB27" i="31"/>
  <c r="R75" i="25" s="1"/>
  <c r="AD22" i="31"/>
  <c r="AA74" i="25" s="1"/>
  <c r="I2" i="31"/>
  <c r="J42" i="30"/>
  <c r="H42" i="30" s="1"/>
  <c r="I33" i="30" s="1"/>
  <c r="H15" i="30"/>
  <c r="N10" i="30"/>
  <c r="N26" i="30" s="1"/>
  <c r="O2" i="30"/>
  <c r="AJ34" i="29"/>
  <c r="AH34" i="29"/>
  <c r="O33" i="29"/>
  <c r="Q33" i="29" s="1"/>
  <c r="AJ30" i="29"/>
  <c r="AI30" i="29"/>
  <c r="AH30" i="29"/>
  <c r="AG30" i="29"/>
  <c r="AJ29" i="29"/>
  <c r="AI29" i="29"/>
  <c r="AH29" i="29"/>
  <c r="AG29" i="29"/>
  <c r="N29" i="29"/>
  <c r="Q29" i="29" s="1"/>
  <c r="AJ28" i="29"/>
  <c r="AI28" i="29"/>
  <c r="AH28" i="29"/>
  <c r="AG28" i="29"/>
  <c r="N28" i="29"/>
  <c r="Q28" i="29" s="1"/>
  <c r="AJ27" i="29"/>
  <c r="AI27" i="29"/>
  <c r="AH27" i="29"/>
  <c r="AG27" i="29"/>
  <c r="N27" i="29"/>
  <c r="Q27" i="29" s="1"/>
  <c r="AJ26" i="29"/>
  <c r="AI26" i="29"/>
  <c r="AH26" i="29"/>
  <c r="AG26" i="29"/>
  <c r="N26" i="29"/>
  <c r="Q26" i="29" s="1"/>
  <c r="AJ25" i="29"/>
  <c r="AI25" i="29"/>
  <c r="AH25" i="29"/>
  <c r="AG25" i="29"/>
  <c r="N25" i="29"/>
  <c r="Q25" i="29" s="1"/>
  <c r="AJ24" i="29"/>
  <c r="AI24" i="29"/>
  <c r="AH24" i="29"/>
  <c r="AG24" i="29"/>
  <c r="N24" i="29"/>
  <c r="Q24" i="29" s="1"/>
  <c r="AJ23" i="29"/>
  <c r="AI23" i="29"/>
  <c r="AH23" i="29"/>
  <c r="AG23" i="29"/>
  <c r="N23" i="29"/>
  <c r="Q23" i="29" s="1"/>
  <c r="AJ22" i="29"/>
  <c r="AI22" i="29"/>
  <c r="AH22" i="29"/>
  <c r="AG22" i="29"/>
  <c r="N22" i="29"/>
  <c r="Q22" i="29" s="1"/>
  <c r="N21" i="29"/>
  <c r="Q21" i="29" s="1"/>
  <c r="Q18" i="29"/>
  <c r="AJ16" i="29"/>
  <c r="AH16" i="29"/>
  <c r="O15" i="29"/>
  <c r="Q15" i="29" s="1"/>
  <c r="AJ12" i="29"/>
  <c r="AH12" i="29"/>
  <c r="AJ9" i="29"/>
  <c r="AH9" i="29"/>
  <c r="O8" i="29"/>
  <c r="Q8" i="29" s="1"/>
  <c r="Q2" i="29"/>
  <c r="AJ33" i="28"/>
  <c r="AH33" i="28"/>
  <c r="O33" i="28"/>
  <c r="Q33" i="28" s="1"/>
  <c r="AJ29" i="28"/>
  <c r="AI29" i="28"/>
  <c r="AH29" i="28"/>
  <c r="AG29" i="28"/>
  <c r="N29" i="28"/>
  <c r="Q29" i="28" s="1"/>
  <c r="AJ28" i="28"/>
  <c r="AI28" i="28"/>
  <c r="AH28" i="28"/>
  <c r="AG28" i="28"/>
  <c r="N28" i="28"/>
  <c r="Q28" i="28" s="1"/>
  <c r="AJ27" i="28"/>
  <c r="AI27" i="28"/>
  <c r="AH27" i="28"/>
  <c r="AG27" i="28"/>
  <c r="N27" i="28"/>
  <c r="Q27" i="28" s="1"/>
  <c r="AJ26" i="28"/>
  <c r="AI26" i="28"/>
  <c r="AH26" i="28"/>
  <c r="AG26" i="28"/>
  <c r="N26" i="28"/>
  <c r="Q26" i="28" s="1"/>
  <c r="AJ25" i="28"/>
  <c r="AI25" i="28"/>
  <c r="AH25" i="28"/>
  <c r="AG25" i="28"/>
  <c r="N25" i="28"/>
  <c r="Q25" i="28" s="1"/>
  <c r="AJ24" i="28"/>
  <c r="AI24" i="28"/>
  <c r="AH24" i="28"/>
  <c r="AG24" i="28"/>
  <c r="N24" i="28"/>
  <c r="Q24" i="28" s="1"/>
  <c r="AJ23" i="28"/>
  <c r="AI23" i="28"/>
  <c r="AH23" i="28"/>
  <c r="AG23" i="28"/>
  <c r="N23" i="28"/>
  <c r="Q23" i="28" s="1"/>
  <c r="AJ22" i="28"/>
  <c r="AI22" i="28"/>
  <c r="AH22" i="28"/>
  <c r="AG22" i="28"/>
  <c r="N22" i="28"/>
  <c r="Q22" i="28" s="1"/>
  <c r="AJ21" i="28"/>
  <c r="AI21" i="28"/>
  <c r="AH21" i="28"/>
  <c r="AG21" i="28"/>
  <c r="N21" i="28"/>
  <c r="Q21" i="28" s="1"/>
  <c r="Q18" i="28"/>
  <c r="AJ15" i="28"/>
  <c r="AH15" i="28"/>
  <c r="O15" i="28"/>
  <c r="Q15" i="28" s="1"/>
  <c r="AJ11" i="28"/>
  <c r="AH11" i="28"/>
  <c r="AJ8" i="28"/>
  <c r="AH8" i="28"/>
  <c r="O8" i="28"/>
  <c r="Q8" i="28" s="1"/>
  <c r="Q2" i="28"/>
  <c r="AJ32" i="27"/>
  <c r="AH32" i="27"/>
  <c r="O32" i="27"/>
  <c r="Q32" i="27" s="1"/>
  <c r="AJ28" i="27"/>
  <c r="AI28" i="27"/>
  <c r="N28" i="27"/>
  <c r="Q28" i="27" s="1"/>
  <c r="AJ27" i="27"/>
  <c r="AI27" i="27"/>
  <c r="N27" i="27"/>
  <c r="Q27" i="27" s="1"/>
  <c r="AJ26" i="27"/>
  <c r="AI26" i="27"/>
  <c r="N26" i="27"/>
  <c r="Q26" i="27" s="1"/>
  <c r="AI25" i="27"/>
  <c r="AJ25" i="27" s="1"/>
  <c r="N25" i="27"/>
  <c r="Q25" i="27" s="1"/>
  <c r="AJ24" i="27"/>
  <c r="AI24" i="27"/>
  <c r="N24" i="27"/>
  <c r="Q24" i="27" s="1"/>
  <c r="AJ23" i="27"/>
  <c r="AI23" i="27"/>
  <c r="N23" i="27"/>
  <c r="Q23" i="27" s="1"/>
  <c r="AI22" i="27"/>
  <c r="AJ22" i="27" s="1"/>
  <c r="N22" i="27"/>
  <c r="Q22" i="27" s="1"/>
  <c r="AJ21" i="27"/>
  <c r="AI21" i="27"/>
  <c r="N21" i="27"/>
  <c r="Q21" i="27" s="1"/>
  <c r="AJ20" i="27"/>
  <c r="AI20" i="27"/>
  <c r="AH20" i="27"/>
  <c r="AG20" i="27"/>
  <c r="N20" i="27"/>
  <c r="Q20" i="27" s="1"/>
  <c r="AJ14" i="27"/>
  <c r="AH14" i="27"/>
  <c r="O14" i="27"/>
  <c r="Q14" i="27" s="1"/>
  <c r="AJ11" i="27"/>
  <c r="AH11" i="27"/>
  <c r="AJ8" i="27"/>
  <c r="AH8" i="27"/>
  <c r="O8" i="27"/>
  <c r="Q8" i="27" s="1"/>
  <c r="G58" i="23" s="1"/>
  <c r="C60" i="23" s="1"/>
  <c r="Q2" i="27"/>
  <c r="AI36" i="26"/>
  <c r="AG36" i="26"/>
  <c r="O36" i="26"/>
  <c r="Q36" i="26" s="1"/>
  <c r="AH31" i="26"/>
  <c r="AF31" i="26"/>
  <c r="N31" i="26"/>
  <c r="AI31" i="26" s="1"/>
  <c r="AH30" i="26"/>
  <c r="AF30" i="26"/>
  <c r="N30" i="26"/>
  <c r="AI30" i="26" s="1"/>
  <c r="AH29" i="26"/>
  <c r="AF29" i="26"/>
  <c r="N29" i="26"/>
  <c r="AG29" i="26" s="1"/>
  <c r="AH28" i="26"/>
  <c r="AF28" i="26"/>
  <c r="N28" i="26"/>
  <c r="Q28" i="26" s="1"/>
  <c r="AH27" i="26"/>
  <c r="AF27" i="26"/>
  <c r="N27" i="26"/>
  <c r="AI27" i="26" s="1"/>
  <c r="AH26" i="26"/>
  <c r="AF26" i="26"/>
  <c r="N26" i="26"/>
  <c r="AI26" i="26" s="1"/>
  <c r="AH25" i="26"/>
  <c r="AF25" i="26"/>
  <c r="N25" i="26"/>
  <c r="AG25" i="26" s="1"/>
  <c r="AH24" i="26"/>
  <c r="AF24" i="26"/>
  <c r="N24" i="26"/>
  <c r="Q24" i="26" s="1"/>
  <c r="AH23" i="26"/>
  <c r="AF23" i="26"/>
  <c r="N23" i="26"/>
  <c r="AI23" i="26" s="1"/>
  <c r="AI17" i="26"/>
  <c r="AG17" i="26"/>
  <c r="O17" i="26"/>
  <c r="Q17" i="26" s="1"/>
  <c r="K13" i="26"/>
  <c r="E12" i="26"/>
  <c r="E11" i="26"/>
  <c r="E10" i="26"/>
  <c r="Q2" i="26"/>
  <c r="L2" i="24"/>
  <c r="C111" i="23"/>
  <c r="C110" i="23"/>
  <c r="C109" i="23"/>
  <c r="C108" i="23"/>
  <c r="C107" i="23"/>
  <c r="C106" i="23"/>
  <c r="C105" i="23"/>
  <c r="C104" i="23"/>
  <c r="C102" i="23"/>
  <c r="C101" i="23"/>
  <c r="C100" i="23"/>
  <c r="C99" i="23"/>
  <c r="C98" i="23"/>
  <c r="C97" i="23"/>
  <c r="C95" i="23"/>
  <c r="C92" i="23"/>
  <c r="C90" i="23"/>
  <c r="C89" i="23"/>
  <c r="C87" i="23"/>
  <c r="C84" i="23"/>
  <c r="C83" i="23"/>
  <c r="C82" i="23"/>
  <c r="C81" i="23"/>
  <c r="C80" i="23"/>
  <c r="C79" i="23"/>
  <c r="C78" i="23"/>
  <c r="C77" i="23"/>
  <c r="C75" i="23"/>
  <c r="C74" i="23"/>
  <c r="C73" i="23"/>
  <c r="C72" i="23"/>
  <c r="C71" i="23"/>
  <c r="C70" i="23"/>
  <c r="C68" i="23"/>
  <c r="C66" i="23"/>
  <c r="C65" i="23"/>
  <c r="F59" i="23"/>
  <c r="C61" i="23" s="1"/>
  <c r="C59" i="23"/>
  <c r="C57" i="23"/>
  <c r="G56" i="23"/>
  <c r="C58" i="23" s="1"/>
  <c r="C56" i="23"/>
  <c r="C55" i="23"/>
  <c r="C54" i="23"/>
  <c r="I47" i="23"/>
  <c r="C45" i="23" s="1"/>
  <c r="H47" i="23"/>
  <c r="C44" i="23" s="1"/>
  <c r="G47" i="23"/>
  <c r="C43" i="23" s="1"/>
  <c r="F47" i="23"/>
  <c r="C42" i="23" s="1"/>
  <c r="C41" i="23"/>
  <c r="C40" i="23"/>
  <c r="C39" i="23"/>
  <c r="C38" i="23"/>
  <c r="C37" i="23"/>
  <c r="G36" i="23"/>
  <c r="C32" i="23" s="1"/>
  <c r="F36" i="23"/>
  <c r="C31" i="23" s="1"/>
  <c r="C36" i="23"/>
  <c r="G35" i="23"/>
  <c r="C30" i="23" s="1"/>
  <c r="F35" i="23"/>
  <c r="C29" i="23" s="1"/>
  <c r="C35" i="23"/>
  <c r="F34" i="23"/>
  <c r="C27" i="23" s="1"/>
  <c r="C34" i="23"/>
  <c r="C33" i="23"/>
  <c r="F30" i="23"/>
  <c r="C24" i="23" s="1"/>
  <c r="C28" i="23"/>
  <c r="C26" i="23"/>
  <c r="C25" i="23"/>
  <c r="H24" i="23"/>
  <c r="F24" i="23" s="1"/>
  <c r="C10" i="23" s="1"/>
  <c r="G24" i="23"/>
  <c r="C11" i="23" s="1"/>
  <c r="H23" i="23"/>
  <c r="F23" i="23" s="1"/>
  <c r="C7" i="23" s="1"/>
  <c r="G23" i="23"/>
  <c r="C8" i="23" s="1"/>
  <c r="C23" i="23"/>
  <c r="F22" i="23"/>
  <c r="C5" i="23" s="1"/>
  <c r="C22" i="23"/>
  <c r="C21" i="23"/>
  <c r="C20" i="23"/>
  <c r="F19" i="23"/>
  <c r="C19" i="23"/>
  <c r="F18" i="23"/>
  <c r="C18" i="23"/>
  <c r="C17" i="23"/>
  <c r="F16" i="23"/>
  <c r="C16" i="23"/>
  <c r="F15" i="23"/>
  <c r="C15" i="23"/>
  <c r="F14" i="23"/>
  <c r="C14" i="23"/>
  <c r="C13" i="23"/>
  <c r="F12" i="23"/>
  <c r="C4" i="23" s="1"/>
  <c r="F11" i="23"/>
  <c r="F10" i="23"/>
  <c r="C3" i="23" s="1"/>
  <c r="F8" i="23"/>
  <c r="C2" i="23" s="1"/>
  <c r="F7" i="23"/>
  <c r="F6" i="23"/>
  <c r="C6" i="23"/>
  <c r="F4" i="23"/>
  <c r="F3" i="23"/>
  <c r="J25" i="32"/>
  <c r="L25" i="32"/>
  <c r="P25" i="32"/>
  <c r="L24" i="32"/>
  <c r="N24" i="32"/>
  <c r="J18" i="32"/>
  <c r="P24" i="32"/>
  <c r="N25" i="32"/>
  <c r="J27" i="32" l="1"/>
  <c r="AB43" i="31"/>
  <c r="R76" i="25" s="1"/>
  <c r="S77" i="25" s="1"/>
  <c r="J52" i="31"/>
  <c r="G12" i="31"/>
  <c r="E59" i="25"/>
  <c r="J19" i="32"/>
  <c r="J21" i="32" s="1"/>
  <c r="J23" i="32" s="1"/>
  <c r="AG31" i="26"/>
  <c r="N27" i="32"/>
  <c r="N21" i="30"/>
  <c r="L18" i="32"/>
  <c r="L19" i="32" s="1"/>
  <c r="Q27" i="26"/>
  <c r="AI29" i="26"/>
  <c r="Q23" i="26"/>
  <c r="AI24" i="26"/>
  <c r="Q30" i="26"/>
  <c r="Q26" i="26"/>
  <c r="AG24" i="26"/>
  <c r="AH32" i="26"/>
  <c r="AJ30" i="28"/>
  <c r="AJ36" i="28" s="1"/>
  <c r="AG28" i="26"/>
  <c r="AF32" i="26"/>
  <c r="AJ31" i="29"/>
  <c r="AJ37" i="29" s="1"/>
  <c r="AG23" i="26"/>
  <c r="AI28" i="26"/>
  <c r="AI25" i="26"/>
  <c r="AG27" i="26"/>
  <c r="Q31" i="26"/>
  <c r="Q30" i="29"/>
  <c r="Q36" i="29" s="1"/>
  <c r="AH30" i="28"/>
  <c r="AH36" i="28" s="1"/>
  <c r="AH31" i="29"/>
  <c r="AH37" i="29" s="1"/>
  <c r="L37" i="32"/>
  <c r="N37" i="32"/>
  <c r="P37" i="32"/>
  <c r="L27" i="32"/>
  <c r="P27" i="32"/>
  <c r="C9" i="23"/>
  <c r="Q29" i="27"/>
  <c r="G59" i="23" s="1"/>
  <c r="C62" i="23" s="1"/>
  <c r="AH35" i="27"/>
  <c r="Z52" i="25" s="1"/>
  <c r="AJ29" i="27"/>
  <c r="AJ35" i="27" s="1"/>
  <c r="AB52" i="25" s="1"/>
  <c r="C12" i="23"/>
  <c r="AB75" i="25"/>
  <c r="Q30" i="28"/>
  <c r="Q36" i="28" s="1"/>
  <c r="AD43" i="31"/>
  <c r="AA76" i="25" s="1"/>
  <c r="AB77" i="25" s="1"/>
  <c r="P21" i="32"/>
  <c r="P23" i="32" s="1"/>
  <c r="P33" i="32" s="1"/>
  <c r="AB53" i="31"/>
  <c r="Q74" i="25" s="1"/>
  <c r="Q25" i="26"/>
  <c r="AG26" i="26"/>
  <c r="Q29" i="26"/>
  <c r="AG30" i="26"/>
  <c r="AB22" i="31"/>
  <c r="R74" i="25" s="1"/>
  <c r="S75" i="25" s="1"/>
  <c r="C3" i="4"/>
  <c r="C4" i="4"/>
  <c r="G33" i="31" l="1"/>
  <c r="J15" i="31"/>
  <c r="J21" i="31"/>
  <c r="J17" i="31"/>
  <c r="J20" i="31"/>
  <c r="J18" i="31"/>
  <c r="J16" i="31"/>
  <c r="J19" i="31"/>
  <c r="N30" i="30"/>
  <c r="O74" i="25"/>
  <c r="P74" i="25"/>
  <c r="Z56" i="25"/>
  <c r="Q32" i="26"/>
  <c r="Q39" i="26" s="1"/>
  <c r="X46" i="25" s="1"/>
  <c r="AI32" i="26"/>
  <c r="AI39" i="26" s="1"/>
  <c r="AB49" i="25" s="1"/>
  <c r="X52" i="25"/>
  <c r="X55" i="25"/>
  <c r="T77" i="25"/>
  <c r="Z57" i="25" s="1"/>
  <c r="AB56" i="25"/>
  <c r="AG32" i="26"/>
  <c r="AG39" i="26" s="1"/>
  <c r="Z49" i="25" s="1"/>
  <c r="L21" i="32"/>
  <c r="L23" i="32" s="1"/>
  <c r="L33" i="32" s="1"/>
  <c r="I48" i="23"/>
  <c r="C49" i="23" s="1"/>
  <c r="P28" i="32"/>
  <c r="N21" i="32"/>
  <c r="N23" i="32" s="1"/>
  <c r="N33" i="32" s="1"/>
  <c r="I49" i="23"/>
  <c r="C53" i="23" s="1"/>
  <c r="Q35" i="27"/>
  <c r="J56" i="31"/>
  <c r="D75" i="25" s="1"/>
  <c r="K77" i="25"/>
  <c r="AC77" i="25"/>
  <c r="AB57" i="25" s="1"/>
  <c r="J12" i="31" l="1"/>
  <c r="J38" i="31"/>
  <c r="J39" i="31"/>
  <c r="J37" i="31"/>
  <c r="J42" i="31"/>
  <c r="J41" i="31"/>
  <c r="J40" i="31"/>
  <c r="J36" i="31"/>
  <c r="N74" i="25"/>
  <c r="H66" i="23" s="1"/>
  <c r="C94" i="23" s="1"/>
  <c r="I23" i="2"/>
  <c r="I17" i="2"/>
  <c r="N28" i="32"/>
  <c r="F38" i="30"/>
  <c r="G38" i="30" s="1"/>
  <c r="J81" i="25" s="1"/>
  <c r="I53" i="23" s="1"/>
  <c r="C93" i="23" s="1"/>
  <c r="N33" i="30"/>
  <c r="M74" i="25" s="1"/>
  <c r="E56" i="25" s="1"/>
  <c r="M56" i="25" s="1"/>
  <c r="F66" i="23" s="1"/>
  <c r="C67" i="23" s="1"/>
  <c r="AE53" i="31"/>
  <c r="D74" i="25" s="1"/>
  <c r="C74" i="25"/>
  <c r="AE47" i="31"/>
  <c r="M49" i="25"/>
  <c r="F60" i="23" s="1"/>
  <c r="C63" i="23" s="1"/>
  <c r="AE27" i="31"/>
  <c r="K75" i="25"/>
  <c r="AE57" i="31"/>
  <c r="J33" i="32"/>
  <c r="X49" i="25"/>
  <c r="H75" i="25"/>
  <c r="P38" i="32"/>
  <c r="G48" i="23"/>
  <c r="C47" i="23" s="1"/>
  <c r="L28" i="32"/>
  <c r="H48" i="23"/>
  <c r="C48" i="23" s="1"/>
  <c r="M52" i="25"/>
  <c r="H77" i="25"/>
  <c r="C75" i="25"/>
  <c r="J33" i="31" l="1"/>
  <c r="K76" i="25" s="1"/>
  <c r="L77" i="25" s="1"/>
  <c r="H74" i="25"/>
  <c r="I75" i="25" s="1"/>
  <c r="K74" i="25"/>
  <c r="L75" i="25" s="1"/>
  <c r="AE22" i="31"/>
  <c r="Q45" i="32"/>
  <c r="J28" i="32"/>
  <c r="J29" i="32" s="1"/>
  <c r="F48" i="23"/>
  <c r="C46" i="23" s="1"/>
  <c r="G60" i="23"/>
  <c r="C64" i="23" s="1"/>
  <c r="J63" i="25"/>
  <c r="I10" i="2" s="1"/>
  <c r="G49" i="23"/>
  <c r="C51" i="23" s="1"/>
  <c r="L38" i="32"/>
  <c r="H49" i="23"/>
  <c r="C52" i="23" s="1"/>
  <c r="N38" i="32"/>
  <c r="I18" i="2" l="1"/>
  <c r="AE43" i="31"/>
  <c r="H76" i="25"/>
  <c r="I77" i="25" s="1"/>
  <c r="I78" i="25" s="1"/>
  <c r="E57" i="25" s="1"/>
  <c r="M57" i="25" s="1"/>
  <c r="F75" i="23" s="1"/>
  <c r="C76" i="23" s="1"/>
  <c r="L78" i="25"/>
  <c r="H75" i="23" s="1"/>
  <c r="C103" i="23" s="1"/>
  <c r="J46" i="32"/>
  <c r="E76" i="25" s="1"/>
  <c r="F49" i="23"/>
  <c r="C50" i="23" s="1"/>
  <c r="J38" i="32"/>
  <c r="H17" i="2"/>
  <c r="J68" i="25"/>
  <c r="J39" i="32" l="1"/>
  <c r="J40" i="32" s="1"/>
  <c r="J41" i="32" s="1"/>
  <c r="Q76" i="25" l="1"/>
  <c r="Q77" i="25" s="1"/>
  <c r="AB68" i="25"/>
  <c r="J67" i="25" s="1"/>
  <c r="M67" i="25" s="1"/>
  <c r="F90" i="23" s="1"/>
  <c r="C88" i="23" s="1"/>
  <c r="I46" i="32"/>
  <c r="D76" i="25" s="1"/>
  <c r="V76" i="25" l="1"/>
  <c r="V77" i="25" s="1"/>
  <c r="AB58" i="25" s="1"/>
  <c r="AB63" i="25" s="1"/>
  <c r="Z58" i="25"/>
  <c r="Z63" i="25" s="1"/>
  <c r="C76" i="25"/>
  <c r="D77" i="25" l="1"/>
  <c r="C77" i="25"/>
  <c r="E58" i="25" s="1"/>
  <c r="E77" i="25"/>
  <c r="I51" i="23" s="1"/>
  <c r="C91" i="23" s="1"/>
  <c r="H68" i="23" l="1"/>
  <c r="H84" i="23" s="1"/>
  <c r="C112" i="23" s="1"/>
  <c r="M58" i="25" l="1"/>
  <c r="C96" i="23"/>
  <c r="J62" i="25" l="1"/>
  <c r="I8" i="2" s="1"/>
  <c r="F68" i="23"/>
  <c r="F84" i="23" s="1"/>
  <c r="C85" i="23" s="1"/>
  <c r="M62" i="25" l="1"/>
  <c r="C69" i="23"/>
  <c r="P63" i="25" l="1"/>
  <c r="R63" i="25"/>
  <c r="I11" i="2"/>
  <c r="F88" i="23"/>
  <c r="C86"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Kilonback</author>
    <author>Shan Lu</author>
  </authors>
  <commentList>
    <comment ref="B4" authorId="0" shapeId="0" xr:uid="{00000000-0006-0000-0000-000001000000}">
      <text>
        <r>
          <rPr>
            <sz val="10"/>
            <color indexed="9"/>
            <rFont val="Calibri"/>
            <family val="2"/>
          </rPr>
          <t>Problem/opportunity statement as defined by the business case.</t>
        </r>
      </text>
    </comment>
    <comment ref="D4" authorId="0" shapeId="0" xr:uid="{00000000-0006-0000-0000-000002000000}">
      <text>
        <r>
          <rPr>
            <sz val="10"/>
            <color indexed="9"/>
            <rFont val="Calibri"/>
            <family val="2"/>
          </rPr>
          <t>The intended outcomes or goals of an investment.</t>
        </r>
      </text>
    </comment>
    <comment ref="F4" authorId="0" shapeId="0" xr:uid="{00000000-0006-0000-0000-000003000000}">
      <text>
        <r>
          <rPr>
            <sz val="10"/>
            <color indexed="9"/>
            <rFont val="Calibri"/>
            <family val="2"/>
          </rPr>
          <t>Summary of how a project gives effect to GPS priorities (high level outcome).</t>
        </r>
      </text>
    </comment>
    <comment ref="H4" authorId="0" shapeId="0" xr:uid="{00000000-0006-0000-0000-000004000000}">
      <text>
        <r>
          <rPr>
            <sz val="10"/>
            <color indexed="9"/>
            <rFont val="Calibri"/>
            <family val="2"/>
          </rPr>
          <t>Summary of how a project gives effect to local community outcomes.</t>
        </r>
      </text>
    </comment>
    <comment ref="B7" authorId="0" shapeId="0" xr:uid="{00000000-0006-0000-0000-000014000000}">
      <text>
        <r>
          <rPr>
            <sz val="10"/>
            <color theme="0"/>
            <rFont val="Calibri"/>
            <family val="2"/>
          </rPr>
          <t>Aggregate description of non-monetised impacts of this option, including quantative and qualitative description.</t>
        </r>
        <r>
          <rPr>
            <sz val="11"/>
            <color theme="0"/>
            <rFont val="Calibri"/>
            <family val="2"/>
          </rPr>
          <t xml:space="preserve">
</t>
        </r>
      </text>
    </comment>
    <comment ref="E7" authorId="0" shapeId="0" xr:uid="{00000000-0006-0000-0000-000015000000}">
      <text>
        <r>
          <rPr>
            <sz val="10"/>
            <color indexed="9"/>
            <rFont val="Calibri"/>
            <family val="2"/>
          </rPr>
          <t xml:space="preserve">Total dollars in nominal, non-discounted terms provided for context only ahead of financial case.
</t>
        </r>
      </text>
    </comment>
    <comment ref="G7" authorId="0" shapeId="0" xr:uid="{00000000-0006-0000-0000-000016000000}">
      <text>
        <r>
          <rPr>
            <sz val="10"/>
            <color indexed="9"/>
            <rFont val="Calibri"/>
            <family val="2"/>
          </rPr>
          <t>Summary of monetised option benefits to provide context for economic case. Total dollars in discounted terms Figures should be consistent with information within the main body of the table.</t>
        </r>
      </text>
    </comment>
    <comment ref="E8" authorId="0" shapeId="0" xr:uid="{00000000-0006-0000-0000-000017000000}">
      <text>
        <r>
          <rPr>
            <sz val="10"/>
            <color indexed="9"/>
            <rFont val="Calibri"/>
            <family val="2"/>
          </rPr>
          <t>Costs of building / developing the asset. They include all costs incurred from the project planning phase until the implementation phase. Typically, investigation costs prior to planning are not capitalised, and neither are the costs incurred after implementation (e.g. training).</t>
        </r>
      </text>
    </comment>
    <comment ref="G8" authorId="0" shapeId="0" xr:uid="{00000000-0006-0000-0000-000018000000}">
      <text>
        <r>
          <rPr>
            <sz val="10"/>
            <color indexed="9"/>
            <rFont val="Calibri"/>
            <family val="2"/>
          </rPr>
          <t xml:space="preserve">Total Monetised benefits are the standard monetised benefits as per the MBCM. </t>
        </r>
      </text>
    </comment>
    <comment ref="E10" authorId="0" shapeId="0" xr:uid="{00000000-0006-0000-0000-000019000000}">
      <text>
        <r>
          <rPr>
            <sz val="10"/>
            <color theme="0"/>
            <rFont val="Calibri"/>
            <family val="2"/>
          </rPr>
          <t xml:space="preserve"> In the life-cycle of an asset, they are the costs that precede the project planning, design and  “build” (e.g. investigation costs) and those that are incurred after implementation (training, operating and / or maintenance costs). </t>
        </r>
        <r>
          <rPr>
            <sz val="11"/>
            <color theme="0"/>
            <rFont val="Calibri"/>
            <family val="2"/>
          </rPr>
          <t xml:space="preserve">
</t>
        </r>
      </text>
    </comment>
    <comment ref="G11" authorId="0" shapeId="0" xr:uid="{00000000-0006-0000-0000-00001A000000}">
      <text>
        <r>
          <rPr>
            <sz val="10"/>
            <color theme="0"/>
            <rFont val="Calibri"/>
            <family val="2"/>
          </rPr>
          <t>Benefit Cost Ratios (BCRs) represent present value of total benefits divided by present value of total costs.</t>
        </r>
        <r>
          <rPr>
            <sz val="11"/>
            <color theme="0"/>
            <rFont val="Calibri"/>
            <family val="2"/>
          </rPr>
          <t xml:space="preserve">  
</t>
        </r>
      </text>
    </comment>
    <comment ref="E12" authorId="0" shapeId="0" xr:uid="{00000000-0006-0000-0000-00001B000000}">
      <text>
        <r>
          <rPr>
            <sz val="10"/>
            <color theme="0"/>
            <rFont val="Calibri"/>
            <family val="2"/>
          </rPr>
          <t>Total Costs of the summation of Capital and Operating costs.</t>
        </r>
        <r>
          <rPr>
            <sz val="11"/>
            <color theme="0"/>
            <rFont val="Calibri"/>
            <family val="2"/>
          </rPr>
          <t xml:space="preserve">
</t>
        </r>
      </text>
    </comment>
    <comment ref="B14" authorId="0" shapeId="0" xr:uid="{00000000-0006-0000-0000-000005000000}">
      <text>
        <r>
          <rPr>
            <sz val="10"/>
            <color indexed="9"/>
            <rFont val="Calibri"/>
            <family val="2"/>
          </rPr>
          <t xml:space="preserve">The Waka Kotahi benefits framework is constructed around five key outcomes for transport, as identified in the Ministry of Transport's Outcomes Framework, that is: healthy and safe people, resilience and security, economic prosperity, environmental sustainability and inclusive access.  The transport sector outcomes are the first level of the benefit framework structure.  
</t>
        </r>
      </text>
    </comment>
    <comment ref="B15" authorId="0" shapeId="0" xr:uid="{00000000-0006-0000-0000-000006000000}">
      <text>
        <r>
          <rPr>
            <sz val="10"/>
            <color indexed="9"/>
            <rFont val="Calibri"/>
            <family val="2"/>
          </rPr>
          <t xml:space="preserve">Name of benefit as per the benefits framework.  Each benefit begins with the word ‘impact’ to reflect the multi-directional flow of benefits which could be positive or negative.  Benefits outside of the benefits framework should have previously been agreed by Waka Kotahi. 
</t>
        </r>
      </text>
    </comment>
    <comment ref="D15" authorId="0" shapeId="0" xr:uid="{00000000-0006-0000-0000-000007000000}">
      <text>
        <r>
          <rPr>
            <sz val="10"/>
            <color indexed="9"/>
            <rFont val="Calibri"/>
            <family val="2"/>
          </rPr>
          <t xml:space="preserve">Number and name of the quantitative or qualitative measure as per the Benefits Framework.   Waka Kotahi will accept measures outside the benefits framework with good explanation and evidence to support these being included.  
</t>
        </r>
      </text>
    </comment>
    <comment ref="E15" authorId="0" shapeId="0" xr:uid="{00000000-0006-0000-0000-000008000000}">
      <text>
        <r>
          <rPr>
            <sz val="10"/>
            <color indexed="9"/>
            <rFont val="Calibri"/>
            <family val="2"/>
          </rPr>
          <t xml:space="preserve">Baseline quantitative result, using the latest data available, or qualitative description of measure at year zero of the assessment period. 
</t>
        </r>
      </text>
    </comment>
    <comment ref="F15" authorId="0" shapeId="0" xr:uid="{00000000-0006-0000-0000-000009000000}">
      <text>
        <r>
          <rPr>
            <sz val="10"/>
            <color indexed="9"/>
            <rFont val="Calibri"/>
            <family val="2"/>
          </rPr>
          <t xml:space="preserve">Forecast expected change over time if there was no intervention or investment beyond the do minimum.  Using forecast data or qualitative description.
</t>
        </r>
      </text>
    </comment>
    <comment ref="G15" authorId="0" shapeId="0" xr:uid="{00000000-0006-0000-0000-00000A000000}">
      <text>
        <r>
          <rPr>
            <sz val="10"/>
            <color indexed="9"/>
            <rFont val="Calibri"/>
            <family val="2"/>
          </rPr>
          <t>Forecast of expected change over time, should the option be implemented.  Using forecast data or qualitative description.  
Accumulated impacts</t>
        </r>
      </text>
    </comment>
    <comment ref="H15" authorId="0" shapeId="0" xr:uid="{00000000-0006-0000-0000-00000B000000}">
      <text>
        <r>
          <rPr>
            <sz val="10"/>
            <color indexed="9"/>
            <rFont val="Calibri"/>
            <family val="2"/>
          </rPr>
          <t xml:space="preserve">Forecast expected change of monetised impacts over time if there was no intervention or investment beyond the do minimum.   
</t>
        </r>
      </text>
    </comment>
    <comment ref="I15" authorId="0" shapeId="0" xr:uid="{00000000-0006-0000-0000-00000C000000}">
      <text>
        <r>
          <rPr>
            <sz val="10"/>
            <color indexed="9"/>
            <rFont val="Calibri"/>
            <family val="2"/>
          </rPr>
          <t xml:space="preserve">Positive or negative benefit in dollar terms, non-discounted to allow comparison with the do minimum.  
</t>
        </r>
      </text>
    </comment>
    <comment ref="B17" authorId="1" shapeId="0" xr:uid="{C85D740D-6FE4-43F3-9BB1-E4789620A299}">
      <text>
        <r>
          <rPr>
            <sz val="10"/>
            <color indexed="9"/>
            <rFont val="Calibri"/>
            <family val="2"/>
          </rPr>
          <t>1.1 Impact on spcial cost and incidents of crashes measure 1.1.3 Deaths and serious injuries is mandatory</t>
        </r>
        <r>
          <rPr>
            <sz val="12"/>
            <color indexed="9"/>
            <rFont val="Calibri"/>
            <family val="2"/>
          </rPr>
          <t>.</t>
        </r>
      </text>
    </comment>
    <comment ref="D20" authorId="0" shapeId="0" xr:uid="{472F150E-7EC0-4E03-A7AB-92CFC773F4FB}">
      <text>
        <r>
          <rPr>
            <sz val="10"/>
            <color indexed="9"/>
            <rFont val="Calibri"/>
            <family val="2"/>
          </rPr>
          <t>Measures can be selected from anywhere in the benefits framework.</t>
        </r>
        <r>
          <rPr>
            <b/>
            <sz val="12"/>
            <color indexed="9"/>
            <rFont val="Calibri"/>
            <family val="2"/>
          </rPr>
          <t xml:space="preserve">
</t>
        </r>
      </text>
    </comment>
    <comment ref="D21" authorId="0" shapeId="0" xr:uid="{F9D5B861-87A8-46E1-9FE0-CB07AE28E388}">
      <text>
        <r>
          <rPr>
            <sz val="10"/>
            <color indexed="9"/>
            <rFont val="Calibri"/>
            <family val="2"/>
          </rPr>
          <t>Measures can be selected from anywhere in the benefits framework.</t>
        </r>
        <r>
          <rPr>
            <b/>
            <sz val="12"/>
            <color indexed="9"/>
            <rFont val="Calibri"/>
            <family val="2"/>
          </rPr>
          <t xml:space="preserve">
</t>
        </r>
      </text>
    </comment>
    <comment ref="D23" authorId="0" shapeId="0" xr:uid="{7FD248A2-2BF2-414E-93D7-F4F7DE6C46A4}">
      <text>
        <r>
          <rPr>
            <sz val="10"/>
            <color indexed="9"/>
            <rFont val="Calibri"/>
            <family val="2"/>
          </rPr>
          <t>Measures can be selected from anywhere in the benefits framework.</t>
        </r>
        <r>
          <rPr>
            <b/>
            <sz val="12"/>
            <color indexed="9"/>
            <rFont val="Calibri"/>
            <family val="2"/>
          </rPr>
          <t xml:space="preserve">
</t>
        </r>
      </text>
    </comment>
    <comment ref="D24" authorId="0" shapeId="0" xr:uid="{1B6508C4-2C19-49B2-A2A3-7A43362E073B}">
      <text>
        <r>
          <rPr>
            <sz val="10"/>
            <color indexed="9"/>
            <rFont val="Calibri"/>
            <family val="2"/>
          </rPr>
          <t>Measures can be selected from anywhere in the benefits framework.</t>
        </r>
        <r>
          <rPr>
            <b/>
            <sz val="12"/>
            <color indexed="9"/>
            <rFont val="Calibri"/>
            <family val="2"/>
          </rPr>
          <t xml:space="preserve">
</t>
        </r>
      </text>
    </comment>
    <comment ref="B26" authorId="1" shapeId="0" xr:uid="{F866F04F-A570-4505-903F-F2DD3373F2BE}">
      <text>
        <r>
          <rPr>
            <sz val="10"/>
            <color indexed="9"/>
            <rFont val="Calibri"/>
            <family val="2"/>
          </rPr>
          <t>8.1 Impact on greenhouse gas emissions measure 8.1.1 CO2 emissions is mandatory</t>
        </r>
        <r>
          <rPr>
            <sz val="12"/>
            <color indexed="9"/>
            <rFont val="Calibri"/>
            <family val="2"/>
          </rPr>
          <t>.</t>
        </r>
      </text>
    </comment>
    <comment ref="D27" authorId="0" shapeId="0" xr:uid="{B6C610E4-99B4-4947-8DCE-5D9BBB734A97}">
      <text>
        <r>
          <rPr>
            <sz val="10"/>
            <color indexed="9"/>
            <rFont val="Calibri"/>
            <family val="2"/>
          </rPr>
          <t>Measures can be selected from anywhere in the benefits framework.</t>
        </r>
      </text>
    </comment>
    <comment ref="D28" authorId="0" shapeId="0" xr:uid="{CC1F544B-22F9-4F61-95A1-FC46075A45E6}">
      <text>
        <r>
          <rPr>
            <sz val="10"/>
            <color indexed="9"/>
            <rFont val="Calibri"/>
            <family val="2"/>
          </rPr>
          <t>Measures can be selected from anywhere in the benefits framework.</t>
        </r>
      </text>
    </comment>
    <comment ref="B30" authorId="1" shapeId="0" xr:uid="{6EEF9DF9-28CE-4D78-B346-03510045CCA1}">
      <text>
        <r>
          <rPr>
            <sz val="10"/>
            <color indexed="9"/>
            <rFont val="Calibri"/>
            <family val="2"/>
          </rPr>
          <t>12.1 Impact on Te Ao Māori benefit / name of benefit measure 12.1.1 Te Ao Māori is mandatory.</t>
        </r>
      </text>
    </comment>
    <comment ref="D31" authorId="0" shapeId="0" xr:uid="{87CBD3EA-DBA7-4F48-8312-12C64C7BEB7E}">
      <text>
        <r>
          <rPr>
            <sz val="10"/>
            <color indexed="9"/>
            <rFont val="Calibri"/>
            <family val="2"/>
          </rPr>
          <t>Measures can be selected from anywhere in the benefits framework.</t>
        </r>
      </text>
    </comment>
    <comment ref="B33" authorId="0" shapeId="0" xr:uid="{00000000-0006-0000-0000-00001D000000}">
      <text>
        <r>
          <rPr>
            <sz val="10"/>
            <color theme="0"/>
            <rFont val="Calibri"/>
            <family val="2"/>
          </rPr>
          <t>Reason why the option was not selected or why preferred option was chosen. i.e. consideration of non-monetised impacts reasons for best performing. Groups or individuals impacted by positive and negative externalities. Include results of incremental analysis and first year rate of return.</t>
        </r>
        <r>
          <rPr>
            <sz val="11"/>
            <color theme="0"/>
            <rFont val="Calibri"/>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A8" authorId="0" shapeId="0" xr:uid="{4A01649F-226C-4BB9-BDA2-FE588CB565DE}">
      <text>
        <r>
          <rPr>
            <sz val="8"/>
            <color indexed="81"/>
            <rFont val="Verdana"/>
            <family val="2"/>
          </rPr>
          <t>Cost benefit analysis
1. Under benefits, enter the discounted value for the total benefits for each option.
2. Under costs, enter the PV of the operating and maintenance costs for the existing service (before improvements), for the do-minimum and the discounted value of the funding assistance for each option.
3. Calculate the benefit cost ratio (BCR) for each option by dividing the PV total net benefits by the PV total net costs.</t>
        </r>
      </text>
    </comment>
    <comment ref="A24" authorId="0" shapeId="0" xr:uid="{CC6D61AE-24A2-41B6-BF1B-9BA5EED57F98}">
      <text>
        <r>
          <rPr>
            <sz val="8"/>
            <color indexed="81"/>
            <rFont val="Verdana"/>
            <family val="2"/>
          </rPr>
          <t>Incremental analysis
1. Rank the options, including the do-minimum, in order of increasing cost to government.
2. Compare the lowest cost option (usually the do-minimum) with the next higher cost option to calculate the incremental BCR.
3. If the incremental BCR is less than the target incremental BCR specified in section 6.3 of the MBCM, discard the second (higher cost) option in favour of the first. Compare the first option with the next higher cost option.
4. If the incremental BCR is greater than the target incremental BCR, the second (higher cost) option becomes the basis for comparison against the next higher cost option.
5. Repeat the procedure until no higher cost options are available that have an incremental BCR greater than the target incremental BCR.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Graeme Belliss</author>
  </authors>
  <commentList>
    <comment ref="B8" authorId="0" shapeId="0" xr:uid="{D2CEA799-65F0-4B3D-A565-65BF070FBE88}">
      <text>
        <r>
          <rPr>
            <sz val="8"/>
            <color indexed="81"/>
            <rFont val="Verdana"/>
            <family val="2"/>
          </rPr>
          <t>1. Enter the full name, contact details, name of organisation, office location of the evaluator(s) and reviewer(s).</t>
        </r>
      </text>
    </comment>
    <comment ref="B11" authorId="0" shapeId="0" xr:uid="{4FAAAFDA-7AFB-4A29-BB28-7E171F0B1333}">
      <text>
        <r>
          <rPr>
            <sz val="8"/>
            <color indexed="81"/>
            <rFont val="Verdana"/>
            <family val="2"/>
          </rPr>
          <t>2. Provide a general description of the activity (and package/programme where relevant), describe the issues with the existing facilities and the issues to be addressed.</t>
        </r>
      </text>
    </comment>
    <comment ref="B18" authorId="0" shapeId="0" xr:uid="{3B6BA509-1142-451F-8EFB-06486D470234}">
      <text>
        <r>
          <rPr>
            <sz val="8"/>
            <color indexed="81"/>
            <rFont val="Verdana"/>
            <family val="2"/>
          </rPr>
          <t>3. Provide a brief description of the activity location including page references to route map and layout plan within the documentation, used as the foundation of the economics.</t>
        </r>
      </text>
    </comment>
    <comment ref="B21" authorId="0" shapeId="0" xr:uid="{CA7A32A6-78BB-4E21-A278-BB8486C28197}">
      <text>
        <r>
          <rPr>
            <sz val="8"/>
            <color indexed="81"/>
            <rFont val="Verdana"/>
            <family val="2"/>
          </rPr>
          <t>4. Describe the do-minimum, that is usually the least cost option to maintain the current facility in an unimproved state. Describe the options assessed and how the preferred option will improve walking and cycling.</t>
        </r>
      </text>
    </comment>
    <comment ref="B25" authorId="0" shapeId="0" xr:uid="{4410810F-9489-479F-8364-7A9DDDAAC2D2}">
      <text>
        <r>
          <rPr>
            <sz val="8"/>
            <color indexed="81"/>
            <rFont val="Verdana"/>
            <family val="2"/>
          </rPr>
          <t>5. For purposes of economic efficiency, the construction start is assumed to be 1 July of the financial year in which the activity is submitted for a commitment to funding.</t>
        </r>
      </text>
    </comment>
    <comment ref="B31" authorId="0" shapeId="0" xr:uid="{D5A249C7-6FFC-407A-8074-6239AA669DEE}">
      <text>
        <r>
          <rPr>
            <sz val="8"/>
            <color indexed="81"/>
            <rFont val="Verdana"/>
            <family val="2"/>
          </rPr>
          <t>6. Enter the timeframe information, identify the expected duration of construction (months) and identify whether land designation is required.</t>
        </r>
      </text>
    </comment>
    <comment ref="B36" authorId="0" shapeId="0" xr:uid="{6DB5B088-D1C5-497E-A3DF-FBB46E2425BD}">
      <text>
        <r>
          <rPr>
            <sz val="8"/>
            <color indexed="81"/>
            <rFont val="Verdana"/>
            <family val="2"/>
          </rPr>
          <t>7. Enter the applicable data to your request into the appropriate spaces provided.</t>
        </r>
      </text>
    </comment>
    <comment ref="B49" authorId="0" shapeId="0" xr:uid="{9DCC7C23-F2F7-4802-B06A-9D6160FFD06D}">
      <text>
        <r>
          <rPr>
            <sz val="8"/>
            <color indexed="81"/>
            <rFont val="Verdana"/>
            <family val="2"/>
          </rPr>
          <t>8. Use worksheet 2 to calculate the present value (PV) cost of the do-minimum. This should be the lowest cost option that will keep the road in service. It will provide no improvements.</t>
        </r>
      </text>
    </comment>
    <comment ref="B52" authorId="0" shapeId="0" xr:uid="{68FB143C-9C05-4F7D-8E06-F55A234CF050}">
      <text>
        <r>
          <rPr>
            <sz val="8"/>
            <color indexed="81"/>
            <rFont val="Verdana"/>
            <family val="2"/>
          </rPr>
          <t>9. Use worksheet 3 to estimate the preferred option PV cost.</t>
        </r>
      </text>
    </comment>
    <comment ref="B55" authorId="0" shapeId="0" xr:uid="{515405C1-B8ED-4479-B5DE-78EC828C0411}">
      <text>
        <r>
          <rPr>
            <sz val="8"/>
            <color indexed="81"/>
            <rFont val="Verdana"/>
            <family val="2"/>
          </rPr>
          <t>10. Enter the benefits values from worksheets 4 (travel time savings), 5 (walking and cycling facility benefits) and 6 (crash cost savings). To bring the benefits up to the base date values, use the appropriate update factors supplied on the MBCM web page.</t>
        </r>
      </text>
    </comment>
    <comment ref="B62" authorId="0" shapeId="0" xr:uid="{07FD88C4-1DA5-4909-8D5C-499DA16F140D}">
      <text>
        <r>
          <rPr>
            <sz val="8"/>
            <color indexed="81"/>
            <rFont val="Verdana"/>
            <family val="2"/>
          </rPr>
          <t>11. The national benefit cost ratio (BCRN) is calculated by dividing the PV of the net benefits (PV benefits of the do-minimum subtracted from the PV benefits of the option) by PV of the net costs (PV costs of the do-minimum subtracted from the PV costs of the option).</t>
        </r>
      </text>
    </comment>
    <comment ref="B67" authorId="1" shapeId="0" xr:uid="{A669E522-ABA6-420F-A444-17A58B0BF22F}">
      <text>
        <r>
          <rPr>
            <sz val="8"/>
            <color indexed="81"/>
            <rFont val="Verdana"/>
            <family val="2"/>
          </rPr>
          <t>12. The first year rate of return (FYRR) is calculated by dividing the total benefits in the first year of operation by the PV of net costs.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8" authorId="0" shapeId="0" xr:uid="{4996CA31-DF01-418A-AAB9-5B95ABF226C8}">
      <text>
        <r>
          <rPr>
            <sz val="8"/>
            <color indexed="81"/>
            <rFont val="Verdana"/>
            <family val="2"/>
          </rPr>
          <t>1. Enter the historic maintenance cost data. The annual and periodic maintenance costs should be obtained from maintenance records.</t>
        </r>
      </text>
    </comment>
    <comment ref="B16" authorId="0" shapeId="0" xr:uid="{2AFEBC54-BCAC-452F-8B20-916EE0FEE1A7}">
      <text>
        <r>
          <rPr>
            <sz val="8"/>
            <color indexed="81"/>
            <rFont val="Verdana"/>
            <family val="2"/>
          </rPr>
          <t xml:space="preserve">2. Calculate the PV of annual maintenance costs </t>
        </r>
        <r>
          <rPr>
            <b/>
            <sz val="8"/>
            <color indexed="81"/>
            <rFont val="Verdana"/>
            <family val="2"/>
          </rPr>
          <t xml:space="preserve">(a) </t>
        </r>
        <r>
          <rPr>
            <sz val="8"/>
            <color indexed="81"/>
            <rFont val="Verdana"/>
            <family val="2"/>
          </rPr>
          <t>for the do-minimum by multiplying the annual cost by the discount factor of 20.19.</t>
        </r>
      </text>
    </comment>
    <comment ref="B19" authorId="0" shapeId="0" xr:uid="{D5176B7D-5154-4591-A632-5B13DDAA3C0E}">
      <text>
        <r>
          <rPr>
            <sz val="8"/>
            <color indexed="81"/>
            <rFont val="Verdana"/>
            <family val="2"/>
          </rPr>
          <t xml:space="preserve">3. Schedule any periodic maintenance, according to the year in which this work is expected to be undertaken. Apply the appropriate single payment present worth factor (SPPWF) to determine the PV at time zero. Sum the PV of the periodic costs to determine the PV of total periodic maintenance costs </t>
        </r>
        <r>
          <rPr>
            <b/>
            <sz val="8"/>
            <color indexed="81"/>
            <rFont val="Verdana"/>
            <family val="2"/>
          </rPr>
          <t>(b)</t>
        </r>
        <r>
          <rPr>
            <sz val="8"/>
            <color indexed="81"/>
            <rFont val="Verdana"/>
            <family val="2"/>
          </rPr>
          <t>.</t>
        </r>
      </text>
    </comment>
    <comment ref="B35" authorId="0" shapeId="0" xr:uid="{978AB827-187A-44F4-8062-2108907CFD13}">
      <text>
        <r>
          <rPr>
            <sz val="8"/>
            <color indexed="81"/>
            <rFont val="Verdana"/>
            <family val="2"/>
          </rPr>
          <t xml:space="preserve">4. Calculate the PV of the annual costs associated with operating the facility </t>
        </r>
        <r>
          <rPr>
            <b/>
            <sz val="8"/>
            <color indexed="81"/>
            <rFont val="Verdana"/>
            <family val="2"/>
          </rPr>
          <t>(c)</t>
        </r>
        <r>
          <rPr>
            <sz val="8"/>
            <color indexed="81"/>
            <rFont val="Verdana"/>
            <family val="2"/>
          </rPr>
          <t xml:space="preserve"> for the do-minimum by multiplying the annual cost by the discount factor 20.19. 
</t>
        </r>
        <r>
          <rPr>
            <b/>
            <sz val="8"/>
            <color indexed="81"/>
            <rFont val="Verdana"/>
            <family val="2"/>
          </rPr>
          <t>Note</t>
        </r>
        <r>
          <rPr>
            <sz val="8"/>
            <color indexed="81"/>
            <rFont val="Verdana"/>
            <family val="2"/>
          </rPr>
          <t>: Operating costs must be distinct from, and in addition to, maintenance costs.</t>
        </r>
      </text>
    </comment>
    <comment ref="B38" authorId="0" shapeId="0" xr:uid="{2FE16E18-F417-4B02-B31F-9A313E7308E7}">
      <text>
        <r>
          <rPr>
            <sz val="8"/>
            <color indexed="81"/>
            <rFont val="Verdana"/>
            <family val="2"/>
          </rPr>
          <t xml:space="preserve">5. Sum </t>
        </r>
        <r>
          <rPr>
            <b/>
            <sz val="8"/>
            <color indexed="81"/>
            <rFont val="Verdana"/>
            <family val="2"/>
          </rPr>
          <t>(a)</t>
        </r>
        <r>
          <rPr>
            <sz val="8"/>
            <color indexed="81"/>
            <rFont val="Verdana"/>
            <family val="2"/>
          </rPr>
          <t xml:space="preserve"> + </t>
        </r>
        <r>
          <rPr>
            <b/>
            <sz val="8"/>
            <color indexed="81"/>
            <rFont val="Verdana"/>
            <family val="2"/>
          </rPr>
          <t>(b)</t>
        </r>
        <r>
          <rPr>
            <sz val="8"/>
            <color indexed="81"/>
            <rFont val="Verdana"/>
            <family val="2"/>
          </rPr>
          <t xml:space="preserve"> + </t>
        </r>
        <r>
          <rPr>
            <b/>
            <sz val="8"/>
            <color indexed="81"/>
            <rFont val="Verdana"/>
            <family val="2"/>
          </rPr>
          <t>(c)</t>
        </r>
        <r>
          <rPr>
            <sz val="8"/>
            <color indexed="81"/>
            <rFont val="Verdana"/>
            <family val="2"/>
          </rPr>
          <t xml:space="preserve"> to get PV cost of the do-minimum. Transfer the total to </t>
        </r>
        <r>
          <rPr>
            <b/>
            <sz val="8"/>
            <color indexed="81"/>
            <rFont val="Verdana"/>
            <family val="2"/>
          </rPr>
          <t>A</t>
        </r>
        <r>
          <rPr>
            <sz val="8"/>
            <color indexed="81"/>
            <rFont val="Verdana"/>
            <family val="2"/>
          </rPr>
          <t xml:space="preserve"> in worksheet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7" authorId="0" shapeId="0" xr:uid="{B32BFA99-2EE7-4F9C-93C7-FB0F9944066F}">
      <text>
        <r>
          <rPr>
            <sz val="8"/>
            <color indexed="81"/>
            <rFont val="Verdana"/>
            <family val="2"/>
          </rPr>
          <t xml:space="preserve">1. Enter the capital cost (including professional services for design and supervision) of the proposed option. The cost is estimated separately on an estimate sheet, which should be attached to this worksheet. Multiply the cost by the discount factor 0.96 and enter at </t>
        </r>
        <r>
          <rPr>
            <b/>
            <sz val="8"/>
            <color indexed="81"/>
            <rFont val="Verdana"/>
            <family val="2"/>
          </rPr>
          <t>(a)</t>
        </r>
        <r>
          <rPr>
            <sz val="8"/>
            <color indexed="81"/>
            <rFont val="Verdana"/>
            <family val="2"/>
          </rPr>
          <t>.</t>
        </r>
      </text>
    </comment>
    <comment ref="B11" authorId="0" shapeId="0" xr:uid="{E617AD27-07DF-4A16-8E6C-377A7C2FA0A4}">
      <text>
        <r>
          <rPr>
            <sz val="8"/>
            <color indexed="81"/>
            <rFont val="Verdana"/>
            <family val="2"/>
          </rPr>
          <t xml:space="preserve">2. Enter the cost of maintenance for year 1 at </t>
        </r>
        <r>
          <rPr>
            <b/>
            <sz val="8"/>
            <color indexed="81"/>
            <rFont val="Verdana"/>
            <family val="2"/>
          </rPr>
          <t>(b)</t>
        </r>
        <r>
          <rPr>
            <sz val="8"/>
            <color indexed="81"/>
            <rFont val="Verdana"/>
            <family val="2"/>
          </rPr>
          <t>. As this is assumed to be the year that the proposed option facility is constructed.</t>
        </r>
      </text>
    </comment>
    <comment ref="B13" authorId="0" shapeId="0" xr:uid="{185D76F8-D344-4171-A401-1869DA61BA02}">
      <text>
        <r>
          <rPr>
            <sz val="8"/>
            <color indexed="81"/>
            <rFont val="Verdana"/>
            <family val="2"/>
          </rPr>
          <t xml:space="preserve">3. Enter the cost for annual maintenance and inspections following completion of the facility. Multiply by discount factor 19.21 to get the PV of annual maintenance costs </t>
        </r>
        <r>
          <rPr>
            <b/>
            <sz val="8"/>
            <color indexed="81"/>
            <rFont val="Verdana"/>
            <family val="2"/>
          </rPr>
          <t>(c)</t>
        </r>
        <r>
          <rPr>
            <sz val="8"/>
            <color indexed="81"/>
            <rFont val="Verdana"/>
            <family val="2"/>
          </rPr>
          <t xml:space="preserve"> for years 2 to 40 inclusive.</t>
        </r>
      </text>
    </comment>
    <comment ref="B16" authorId="0" shapeId="0" xr:uid="{67AD1252-91A8-4D24-A72E-91EE37E9D141}">
      <text>
        <r>
          <rPr>
            <sz val="8"/>
            <color indexed="81"/>
            <rFont val="Verdana"/>
            <family val="2"/>
          </rPr>
          <t xml:space="preserve">4. Enter the costs of periodic maintenance. Determine which years this maintenance will be required (if at all) and enter the year, estimate cost and single payment present worth factor (SPPWF). Calculate the PV (estimate cost × SPPWF) for each cost and sum to obtain the PV of the total periodic maintenance cost </t>
        </r>
        <r>
          <rPr>
            <b/>
            <sz val="8"/>
            <color indexed="81"/>
            <rFont val="Verdana"/>
            <family val="2"/>
          </rPr>
          <t>(d)</t>
        </r>
        <r>
          <rPr>
            <sz val="8"/>
            <color indexed="81"/>
            <rFont val="Verdana"/>
            <family val="2"/>
          </rPr>
          <t>.</t>
        </r>
      </text>
    </comment>
    <comment ref="B31" authorId="0" shapeId="0" xr:uid="{D6701CD3-A390-4458-A4AC-5E8C54C74858}">
      <text>
        <r>
          <rPr>
            <sz val="8"/>
            <color indexed="81"/>
            <rFont val="Verdana"/>
            <family val="2"/>
          </rPr>
          <t xml:space="preserve">5. The annual costs (for years 2 to 40) associated with the improved facility, but not maintaining capital assets, are specified and multiplied by the discount factor 19.21 to get </t>
        </r>
        <r>
          <rPr>
            <b/>
            <sz val="8"/>
            <color indexed="81"/>
            <rFont val="Verdana"/>
            <family val="2"/>
          </rPr>
          <t>(e)</t>
        </r>
        <r>
          <rPr>
            <sz val="8"/>
            <color indexed="81"/>
            <rFont val="Verdana"/>
            <family val="2"/>
          </rPr>
          <t>.</t>
        </r>
      </text>
    </comment>
    <comment ref="B34" authorId="0" shapeId="0" xr:uid="{FCEFBC5C-6942-43BB-AA41-3D9DB6366E90}">
      <text>
        <r>
          <rPr>
            <sz val="8"/>
            <color indexed="81"/>
            <rFont val="Verdana"/>
            <family val="2"/>
          </rPr>
          <t xml:space="preserve">6. The sum of </t>
        </r>
        <r>
          <rPr>
            <b/>
            <sz val="8"/>
            <color indexed="81"/>
            <rFont val="Verdana"/>
            <family val="2"/>
          </rPr>
          <t>(a)</t>
        </r>
        <r>
          <rPr>
            <sz val="8"/>
            <color indexed="81"/>
            <rFont val="Verdana"/>
            <family val="2"/>
          </rPr>
          <t xml:space="preserve"> + </t>
        </r>
        <r>
          <rPr>
            <b/>
            <sz val="8"/>
            <color indexed="81"/>
            <rFont val="Verdana"/>
            <family val="2"/>
          </rPr>
          <t>(b)</t>
        </r>
        <r>
          <rPr>
            <sz val="8"/>
            <color indexed="81"/>
            <rFont val="Verdana"/>
            <family val="2"/>
          </rPr>
          <t xml:space="preserve"> + </t>
        </r>
        <r>
          <rPr>
            <b/>
            <sz val="8"/>
            <color indexed="81"/>
            <rFont val="Verdana"/>
            <family val="2"/>
          </rPr>
          <t>(c)</t>
        </r>
        <r>
          <rPr>
            <sz val="8"/>
            <color indexed="81"/>
            <rFont val="Verdana"/>
            <family val="2"/>
          </rPr>
          <t xml:space="preserve"> + </t>
        </r>
        <r>
          <rPr>
            <b/>
            <sz val="8"/>
            <color indexed="81"/>
            <rFont val="Verdana"/>
            <family val="2"/>
          </rPr>
          <t>(d)</t>
        </r>
        <r>
          <rPr>
            <sz val="8"/>
            <color indexed="81"/>
            <rFont val="Verdana"/>
            <family val="2"/>
          </rPr>
          <t xml:space="preserve"> + </t>
        </r>
        <r>
          <rPr>
            <b/>
            <sz val="8"/>
            <color indexed="81"/>
            <rFont val="Verdana"/>
            <family val="2"/>
          </rPr>
          <t>(e)</t>
        </r>
        <r>
          <rPr>
            <sz val="8"/>
            <color indexed="81"/>
            <rFont val="Verdana"/>
            <family val="2"/>
          </rPr>
          <t xml:space="preserve"> gives the PV total cost of the option, </t>
        </r>
        <r>
          <rPr>
            <b/>
            <sz val="8"/>
            <color indexed="81"/>
            <rFont val="Verdana"/>
            <family val="2"/>
          </rPr>
          <t>B</t>
        </r>
        <r>
          <rPr>
            <sz val="8"/>
            <color indexed="81"/>
            <rFont val="Verdana"/>
            <family val="2"/>
          </rPr>
          <t xml:space="preserve">. Transfer the PV total costs for the preferred option </t>
        </r>
        <r>
          <rPr>
            <b/>
            <sz val="8"/>
            <color indexed="81"/>
            <rFont val="Verdana"/>
            <family val="2"/>
          </rPr>
          <t>B</t>
        </r>
        <r>
          <rPr>
            <sz val="8"/>
            <color indexed="81"/>
            <rFont val="Verdana"/>
            <family val="2"/>
          </rPr>
          <t xml:space="preserve">, to </t>
        </r>
        <r>
          <rPr>
            <b/>
            <sz val="8"/>
            <color indexed="81"/>
            <rFont val="Verdana"/>
            <family val="2"/>
          </rPr>
          <t>B</t>
        </r>
        <r>
          <rPr>
            <sz val="8"/>
            <color indexed="81"/>
            <rFont val="Verdana"/>
            <family val="2"/>
          </rPr>
          <t xml:space="preserve"> on worksheet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7" authorId="0" shapeId="0" xr:uid="{5EC8037E-A49E-411E-918F-A491F8F4D38E}">
      <text>
        <r>
          <rPr>
            <sz val="8"/>
            <color indexed="81"/>
            <rFont val="Verdana"/>
            <family val="2"/>
          </rPr>
          <t xml:space="preserve">1. Enter the capital cost (including professional services for design and supervision) of the proposed option. The cost is estimated separately on an estimate sheet, which should be attached to this worksheet. Multiply the cost by the discount factor 0.96 and enter at </t>
        </r>
        <r>
          <rPr>
            <b/>
            <sz val="8"/>
            <color indexed="81"/>
            <rFont val="Verdana"/>
            <family val="2"/>
          </rPr>
          <t>(a)</t>
        </r>
        <r>
          <rPr>
            <sz val="8"/>
            <color indexed="81"/>
            <rFont val="Verdana"/>
            <family val="2"/>
          </rPr>
          <t>.</t>
        </r>
      </text>
    </comment>
    <comment ref="B11" authorId="0" shapeId="0" xr:uid="{8E6A0F6A-9C1F-4FA0-86E4-139BF6474172}">
      <text>
        <r>
          <rPr>
            <sz val="8"/>
            <color indexed="81"/>
            <rFont val="Verdana"/>
            <family val="2"/>
          </rPr>
          <t xml:space="preserve">2. Enter the cost of maintenance for year 1 at </t>
        </r>
        <r>
          <rPr>
            <b/>
            <sz val="8"/>
            <color indexed="81"/>
            <rFont val="Verdana"/>
            <family val="2"/>
          </rPr>
          <t>(b)</t>
        </r>
        <r>
          <rPr>
            <sz val="8"/>
            <color indexed="81"/>
            <rFont val="Verdana"/>
            <family val="2"/>
          </rPr>
          <t>. As this is assumed to be the year that the proposed option facility is constructed.</t>
        </r>
      </text>
    </comment>
    <comment ref="B14" authorId="0" shapeId="0" xr:uid="{AE3C8093-D900-4A03-8033-930C07B89012}">
      <text>
        <r>
          <rPr>
            <sz val="8"/>
            <color indexed="81"/>
            <rFont val="Verdana"/>
            <family val="2"/>
          </rPr>
          <t xml:space="preserve">3. Enter the cost for annual maintenance and inspections following completion of the facility. Multiply by discount factor 19.21 to get the PV of annual maintenance costs </t>
        </r>
        <r>
          <rPr>
            <b/>
            <sz val="8"/>
            <color indexed="81"/>
            <rFont val="Verdana"/>
            <family val="2"/>
          </rPr>
          <t>(c)</t>
        </r>
        <r>
          <rPr>
            <sz val="8"/>
            <color indexed="81"/>
            <rFont val="Verdana"/>
            <family val="2"/>
          </rPr>
          <t xml:space="preserve"> for years 2 to 40 inclusive.</t>
        </r>
      </text>
    </comment>
    <comment ref="B17" authorId="0" shapeId="0" xr:uid="{7ABCE3B6-7D09-4EAE-9779-DA0177DB0EF0}">
      <text>
        <r>
          <rPr>
            <sz val="8"/>
            <color indexed="81"/>
            <rFont val="Verdana"/>
            <family val="2"/>
          </rPr>
          <t xml:space="preserve">4. Enter the costs of periodic maintenance. Determine which years this maintenance will be required (if at all) and enter the year, estimate cost and single payment present worth factor (SPPWF). Calculate the PV (estimate cost × SPPWF) for each cost and sum to obtain the PV of the total periodic maintenance cost </t>
        </r>
        <r>
          <rPr>
            <b/>
            <sz val="8"/>
            <color indexed="81"/>
            <rFont val="Verdana"/>
            <family val="2"/>
          </rPr>
          <t>(d)</t>
        </r>
        <r>
          <rPr>
            <sz val="8"/>
            <color indexed="81"/>
            <rFont val="Verdana"/>
            <family val="2"/>
          </rPr>
          <t>.</t>
        </r>
      </text>
    </comment>
    <comment ref="B32" authorId="0" shapeId="0" xr:uid="{7D37CAB4-CDD0-4CA1-A33D-1B1B7A252E7F}">
      <text>
        <r>
          <rPr>
            <sz val="8"/>
            <color indexed="81"/>
            <rFont val="Verdana"/>
            <family val="2"/>
          </rPr>
          <t xml:space="preserve">5. The annual costs (for years 2 to 40) associated with the improved facility, but not maintaining capital assets, are specified and multiplied by the discount factor 19.21 to get </t>
        </r>
        <r>
          <rPr>
            <b/>
            <sz val="8"/>
            <color indexed="81"/>
            <rFont val="Verdana"/>
            <family val="2"/>
          </rPr>
          <t>(e)</t>
        </r>
        <r>
          <rPr>
            <sz val="8"/>
            <color indexed="81"/>
            <rFont val="Verdana"/>
            <family val="2"/>
          </rPr>
          <t>.</t>
        </r>
      </text>
    </comment>
    <comment ref="B35" authorId="0" shapeId="0" xr:uid="{BCCFD881-67F1-4115-AEA2-3999F9860B69}">
      <text>
        <r>
          <rPr>
            <sz val="8"/>
            <color indexed="81"/>
            <rFont val="Verdana"/>
            <family val="2"/>
          </rPr>
          <t xml:space="preserve">6. The sum of </t>
        </r>
        <r>
          <rPr>
            <b/>
            <sz val="8"/>
            <color indexed="81"/>
            <rFont val="Verdana"/>
            <family val="2"/>
          </rPr>
          <t>(a)</t>
        </r>
        <r>
          <rPr>
            <sz val="8"/>
            <color indexed="81"/>
            <rFont val="Verdana"/>
            <family val="2"/>
          </rPr>
          <t xml:space="preserve"> + </t>
        </r>
        <r>
          <rPr>
            <b/>
            <sz val="8"/>
            <color indexed="81"/>
            <rFont val="Verdana"/>
            <family val="2"/>
          </rPr>
          <t>(b)</t>
        </r>
        <r>
          <rPr>
            <sz val="8"/>
            <color indexed="81"/>
            <rFont val="Verdana"/>
            <family val="2"/>
          </rPr>
          <t xml:space="preserve"> + </t>
        </r>
        <r>
          <rPr>
            <b/>
            <sz val="8"/>
            <color indexed="81"/>
            <rFont val="Verdana"/>
            <family val="2"/>
          </rPr>
          <t>(c)</t>
        </r>
        <r>
          <rPr>
            <sz val="8"/>
            <color indexed="81"/>
            <rFont val="Verdana"/>
            <family val="2"/>
          </rPr>
          <t xml:space="preserve"> + </t>
        </r>
        <r>
          <rPr>
            <b/>
            <sz val="8"/>
            <color indexed="81"/>
            <rFont val="Verdana"/>
            <family val="2"/>
          </rPr>
          <t>(d)</t>
        </r>
        <r>
          <rPr>
            <sz val="8"/>
            <color indexed="81"/>
            <rFont val="Verdana"/>
            <family val="2"/>
          </rPr>
          <t xml:space="preserve"> + </t>
        </r>
        <r>
          <rPr>
            <b/>
            <sz val="8"/>
            <color indexed="81"/>
            <rFont val="Verdana"/>
            <family val="2"/>
          </rPr>
          <t>(e)</t>
        </r>
        <r>
          <rPr>
            <sz val="8"/>
            <color indexed="81"/>
            <rFont val="Verdana"/>
            <family val="2"/>
          </rPr>
          <t xml:space="preserve"> gives the PV total cost of the option, </t>
        </r>
        <r>
          <rPr>
            <b/>
            <sz val="8"/>
            <color indexed="81"/>
            <rFont val="Verdana"/>
            <family val="2"/>
          </rPr>
          <t>B</t>
        </r>
        <r>
          <rPr>
            <sz val="8"/>
            <color indexed="81"/>
            <rFont val="Verdana"/>
            <family val="2"/>
          </rPr>
          <t xml:space="preserve">. Transfer the PV total costs for the preferred option </t>
        </r>
        <r>
          <rPr>
            <b/>
            <sz val="8"/>
            <color indexed="81"/>
            <rFont val="Verdana"/>
            <family val="2"/>
          </rPr>
          <t>B</t>
        </r>
        <r>
          <rPr>
            <sz val="8"/>
            <color indexed="81"/>
            <rFont val="Verdana"/>
            <family val="2"/>
          </rPr>
          <t xml:space="preserve">, to </t>
        </r>
        <r>
          <rPr>
            <b/>
            <sz val="8"/>
            <color indexed="81"/>
            <rFont val="Verdana"/>
            <family val="2"/>
          </rPr>
          <t>B</t>
        </r>
        <r>
          <rPr>
            <sz val="8"/>
            <color indexed="81"/>
            <rFont val="Verdana"/>
            <family val="2"/>
          </rPr>
          <t xml:space="preserve"> on worksheet 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7" authorId="0" shapeId="0" xr:uid="{936BDDDF-F0EA-45F3-A38D-766134E5C7F6}">
      <text>
        <r>
          <rPr>
            <sz val="8"/>
            <color indexed="81"/>
            <rFont val="Verdana"/>
            <family val="2"/>
          </rPr>
          <t xml:space="preserve">1. Enter the capital cost (including professional services for design and supervision) of the proposed option. The cost is estimated separately on an estimate sheet, which should be attached to this worksheet. Multiply the cost by the discount factor 0.96 and enter at </t>
        </r>
        <r>
          <rPr>
            <b/>
            <sz val="8"/>
            <color indexed="81"/>
            <rFont val="Verdana"/>
            <family val="2"/>
          </rPr>
          <t>(a)</t>
        </r>
        <r>
          <rPr>
            <sz val="8"/>
            <color indexed="81"/>
            <rFont val="Verdana"/>
            <family val="2"/>
          </rPr>
          <t>.</t>
        </r>
      </text>
    </comment>
    <comment ref="B11" authorId="0" shapeId="0" xr:uid="{9B48B3AB-583A-401F-ABC6-D479C97C43F2}">
      <text>
        <r>
          <rPr>
            <sz val="8"/>
            <color indexed="81"/>
            <rFont val="Verdana"/>
            <family val="2"/>
          </rPr>
          <t xml:space="preserve">2. Enter the cost of maintenance for year 1 at </t>
        </r>
        <r>
          <rPr>
            <b/>
            <sz val="8"/>
            <color indexed="81"/>
            <rFont val="Verdana"/>
            <family val="2"/>
          </rPr>
          <t>(b)</t>
        </r>
        <r>
          <rPr>
            <sz val="8"/>
            <color indexed="81"/>
            <rFont val="Verdana"/>
            <family val="2"/>
          </rPr>
          <t>. As this is assumed to be the year that the proposed option facility is constructed.</t>
        </r>
      </text>
    </comment>
    <comment ref="B14" authorId="0" shapeId="0" xr:uid="{8341F115-5610-44B8-B35F-56510EEEF441}">
      <text>
        <r>
          <rPr>
            <sz val="8"/>
            <color indexed="81"/>
            <rFont val="Verdana"/>
            <family val="2"/>
          </rPr>
          <t xml:space="preserve">3. Enter the cost for annual maintenance and inspections following completion of the facility. Multiply by discount factor 19.21 to get the PV of annual maintenance costs </t>
        </r>
        <r>
          <rPr>
            <b/>
            <sz val="8"/>
            <color indexed="81"/>
            <rFont val="Verdana"/>
            <family val="2"/>
          </rPr>
          <t>(c)</t>
        </r>
        <r>
          <rPr>
            <sz val="8"/>
            <color indexed="81"/>
            <rFont val="Verdana"/>
            <family val="2"/>
          </rPr>
          <t xml:space="preserve"> for years 2 to 40 inclusive.</t>
        </r>
      </text>
    </comment>
    <comment ref="B17" authorId="0" shapeId="0" xr:uid="{E64D8EA5-E985-4ACA-8168-1883AC6C532A}">
      <text>
        <r>
          <rPr>
            <sz val="8"/>
            <color indexed="81"/>
            <rFont val="Verdana"/>
            <family val="2"/>
          </rPr>
          <t xml:space="preserve">4. Enter the costs of periodic maintenance. Determine which years this maintenance will be required (if at all) and enter the year, estimate cost and single payment present worth factor (SPPWF). Calculate the PV (estimate cost × SPPWF) for each cost and sum to obtain the PV of the total periodic maintenance cost </t>
        </r>
        <r>
          <rPr>
            <b/>
            <sz val="8"/>
            <color indexed="81"/>
            <rFont val="Verdana"/>
            <family val="2"/>
          </rPr>
          <t>(d)</t>
        </r>
        <r>
          <rPr>
            <sz val="8"/>
            <color indexed="81"/>
            <rFont val="Verdana"/>
            <family val="2"/>
          </rPr>
          <t>.</t>
        </r>
      </text>
    </comment>
    <comment ref="B32" authorId="0" shapeId="0" xr:uid="{2CE37C74-9990-4C75-B080-58482DF4DD45}">
      <text>
        <r>
          <rPr>
            <sz val="8"/>
            <color indexed="81"/>
            <rFont val="Verdana"/>
            <family val="2"/>
          </rPr>
          <t xml:space="preserve">5. The annual costs (for years 2 to 40) associated with the improved facility, but not maintaining capital assets, are specified and multiplied by the discount factor 19.21 to get </t>
        </r>
        <r>
          <rPr>
            <b/>
            <sz val="8"/>
            <color indexed="81"/>
            <rFont val="Verdana"/>
            <family val="2"/>
          </rPr>
          <t>(e)</t>
        </r>
        <r>
          <rPr>
            <sz val="8"/>
            <color indexed="81"/>
            <rFont val="Verdana"/>
            <family val="2"/>
          </rPr>
          <t>.</t>
        </r>
      </text>
    </comment>
    <comment ref="B35" authorId="0" shapeId="0" xr:uid="{C47AE1A8-9413-4A8C-A560-172EAD12F86D}">
      <text>
        <r>
          <rPr>
            <sz val="8"/>
            <color indexed="81"/>
            <rFont val="Verdana"/>
            <family val="2"/>
          </rPr>
          <t xml:space="preserve">6. The sum of </t>
        </r>
        <r>
          <rPr>
            <b/>
            <sz val="8"/>
            <color indexed="81"/>
            <rFont val="Verdana"/>
            <family val="2"/>
          </rPr>
          <t>(a)</t>
        </r>
        <r>
          <rPr>
            <sz val="8"/>
            <color indexed="81"/>
            <rFont val="Verdana"/>
            <family val="2"/>
          </rPr>
          <t xml:space="preserve"> + </t>
        </r>
        <r>
          <rPr>
            <b/>
            <sz val="8"/>
            <color indexed="81"/>
            <rFont val="Verdana"/>
            <family val="2"/>
          </rPr>
          <t>(b)</t>
        </r>
        <r>
          <rPr>
            <sz val="8"/>
            <color indexed="81"/>
            <rFont val="Verdana"/>
            <family val="2"/>
          </rPr>
          <t xml:space="preserve"> + </t>
        </r>
        <r>
          <rPr>
            <b/>
            <sz val="8"/>
            <color indexed="81"/>
            <rFont val="Verdana"/>
            <family val="2"/>
          </rPr>
          <t>(c)</t>
        </r>
        <r>
          <rPr>
            <sz val="8"/>
            <color indexed="81"/>
            <rFont val="Verdana"/>
            <family val="2"/>
          </rPr>
          <t xml:space="preserve"> + </t>
        </r>
        <r>
          <rPr>
            <b/>
            <sz val="8"/>
            <color indexed="81"/>
            <rFont val="Verdana"/>
            <family val="2"/>
          </rPr>
          <t>(d)</t>
        </r>
        <r>
          <rPr>
            <sz val="8"/>
            <color indexed="81"/>
            <rFont val="Verdana"/>
            <family val="2"/>
          </rPr>
          <t xml:space="preserve"> + </t>
        </r>
        <r>
          <rPr>
            <b/>
            <sz val="8"/>
            <color indexed="81"/>
            <rFont val="Verdana"/>
            <family val="2"/>
          </rPr>
          <t>(e)</t>
        </r>
        <r>
          <rPr>
            <sz val="8"/>
            <color indexed="81"/>
            <rFont val="Verdana"/>
            <family val="2"/>
          </rPr>
          <t xml:space="preserve"> gives the PV total cost of the option, </t>
        </r>
        <r>
          <rPr>
            <b/>
            <sz val="8"/>
            <color indexed="81"/>
            <rFont val="Verdana"/>
            <family val="2"/>
          </rPr>
          <t>B</t>
        </r>
        <r>
          <rPr>
            <sz val="8"/>
            <color indexed="81"/>
            <rFont val="Verdana"/>
            <family val="2"/>
          </rPr>
          <t xml:space="preserve">. Transfer the PV total costs for the preferred option </t>
        </r>
        <r>
          <rPr>
            <b/>
            <sz val="8"/>
            <color indexed="81"/>
            <rFont val="Verdana"/>
            <family val="2"/>
          </rPr>
          <t>B</t>
        </r>
        <r>
          <rPr>
            <sz val="8"/>
            <color indexed="81"/>
            <rFont val="Verdana"/>
            <family val="2"/>
          </rPr>
          <t xml:space="preserve">, to </t>
        </r>
        <r>
          <rPr>
            <b/>
            <sz val="8"/>
            <color indexed="81"/>
            <rFont val="Verdana"/>
            <family val="2"/>
          </rPr>
          <t>B</t>
        </r>
        <r>
          <rPr>
            <sz val="8"/>
            <color indexed="81"/>
            <rFont val="Verdana"/>
            <family val="2"/>
          </rPr>
          <t xml:space="preserve"> on worksheet 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s>
  <commentList>
    <comment ref="B7" authorId="0" shapeId="0" xr:uid="{FEC18471-D957-4C66-AD51-9DF22512EFBE}">
      <text>
        <r>
          <rPr>
            <sz val="8"/>
            <color indexed="81"/>
            <rFont val="Verdana"/>
            <family val="2"/>
          </rPr>
          <t>1. Select the road category.</t>
        </r>
      </text>
    </comment>
    <comment ref="B9" authorId="0" shapeId="0" xr:uid="{BC89E555-F21A-4FBB-9D87-BFA1F8024A3E}">
      <text>
        <r>
          <rPr>
            <sz val="8"/>
            <color indexed="81"/>
            <rFont val="Verdana"/>
            <family val="2"/>
          </rPr>
          <t xml:space="preserve">2. Enter the data required to complete the travel time cost savings calculations. Default values for travel time costs are found in table 15 of the MBCM. 
</t>
        </r>
        <r>
          <rPr>
            <b/>
            <sz val="8"/>
            <color indexed="81"/>
            <rFont val="Verdana"/>
            <family val="2"/>
          </rPr>
          <t>Note:</t>
        </r>
        <r>
          <rPr>
            <sz val="8"/>
            <color indexed="81"/>
            <rFont val="Verdana"/>
            <family val="2"/>
          </rPr>
          <t xml:space="preserve"> If it is a cycle facility being evaluated, the relative attractiveness (RA) of the option facility compared to the do-minimum must be adjusted for. For example, if the facility moves cyclists from in traffic with road side parking with no cycle lane, to in traffic with road side parking but with a marked cycle lane, enter the relative attractiveness value of 1.8 into the assigned cell. If the RA is greater than one, travel time cost savings for pedestrians must be calculated separately from cyclists with a RA of one used.</t>
        </r>
      </text>
    </comment>
    <comment ref="B19" authorId="0" shapeId="0" xr:uid="{1E42C697-804A-4104-BF59-9994E51EA7B2}">
      <text>
        <r>
          <rPr>
            <sz val="8"/>
            <color indexed="81"/>
            <rFont val="Verdana"/>
            <family val="2"/>
          </rPr>
          <t xml:space="preserve">3. Calculate the annual travel time costs for the do-minimum </t>
        </r>
        <r>
          <rPr>
            <b/>
            <sz val="8"/>
            <color indexed="81"/>
            <rFont val="Verdana"/>
            <family val="2"/>
          </rPr>
          <t>(a)</t>
        </r>
        <r>
          <rPr>
            <sz val="8"/>
            <color indexed="81"/>
            <rFont val="Verdana"/>
            <family val="2"/>
          </rPr>
          <t xml:space="preserve"> using the formula provided.</t>
        </r>
      </text>
    </comment>
    <comment ref="B24" authorId="0" shapeId="0" xr:uid="{090E9D0B-F76C-4D32-8A3E-05F545D13FE8}">
      <text>
        <r>
          <rPr>
            <sz val="8"/>
            <color indexed="81"/>
            <rFont val="Verdana"/>
            <family val="2"/>
          </rPr>
          <t xml:space="preserve">4. Calculate the annual travel time costs for the option </t>
        </r>
        <r>
          <rPr>
            <b/>
            <sz val="8"/>
            <color indexed="81"/>
            <rFont val="Verdana"/>
            <family val="2"/>
          </rPr>
          <t>(b)</t>
        </r>
        <r>
          <rPr>
            <sz val="8"/>
            <color indexed="81"/>
            <rFont val="Verdana"/>
            <family val="2"/>
          </rPr>
          <t xml:space="preserve"> using the formula provided. The travel speed and route length will be the same for both the do-minimum and the activity option if the work does not either shorten the route or increase travel speeds.</t>
        </r>
      </text>
    </comment>
    <comment ref="B30" authorId="0" shapeId="0" xr:uid="{7BE88E72-A81E-4477-AD2D-B7EB762899CC}">
      <text>
        <r>
          <rPr>
            <sz val="8"/>
            <color indexed="81"/>
            <rFont val="Verdana"/>
            <family val="2"/>
          </rPr>
          <t xml:space="preserve">5. Calculate the annual travel time cost savings by subtracting the travel time costs for the option </t>
        </r>
        <r>
          <rPr>
            <b/>
            <sz val="8"/>
            <color indexed="81"/>
            <rFont val="Verdana"/>
            <family val="2"/>
          </rPr>
          <t>(b)</t>
        </r>
        <r>
          <rPr>
            <sz val="8"/>
            <color indexed="81"/>
            <rFont val="Verdana"/>
            <family val="2"/>
          </rPr>
          <t xml:space="preserve"> from the do-minimum travel time costs </t>
        </r>
        <r>
          <rPr>
            <b/>
            <sz val="8"/>
            <color indexed="81"/>
            <rFont val="Verdana"/>
            <family val="2"/>
          </rPr>
          <t>(a)</t>
        </r>
        <r>
          <rPr>
            <sz val="8"/>
            <color indexed="81"/>
            <rFont val="Verdana"/>
            <family val="2"/>
          </rPr>
          <t xml:space="preserve"> to get </t>
        </r>
        <r>
          <rPr>
            <b/>
            <sz val="8"/>
            <color indexed="81"/>
            <rFont val="Verdana"/>
            <family val="2"/>
          </rPr>
          <t>(c)</t>
        </r>
        <r>
          <rPr>
            <sz val="8"/>
            <color indexed="81"/>
            <rFont val="Verdana"/>
            <family val="2"/>
          </rPr>
          <t>.</t>
        </r>
      </text>
    </comment>
    <comment ref="B33" authorId="0" shapeId="0" xr:uid="{15A64438-B57B-4AA1-87DE-708439E5E8E4}">
      <text>
        <r>
          <rPr>
            <sz val="8"/>
            <color indexed="81"/>
            <rFont val="Verdana"/>
            <family val="2"/>
          </rPr>
          <t xml:space="preserve">6. Determine the PV of the travel time cost savings, </t>
        </r>
        <r>
          <rPr>
            <b/>
            <sz val="8"/>
            <color indexed="81"/>
            <rFont val="Verdana"/>
            <family val="2"/>
          </rPr>
          <t>C</t>
        </r>
        <r>
          <rPr>
            <sz val="8"/>
            <color indexed="81"/>
            <rFont val="Verdana"/>
            <family val="2"/>
          </rPr>
          <t xml:space="preserve"> by multiplying </t>
        </r>
        <r>
          <rPr>
            <b/>
            <sz val="8"/>
            <color indexed="81"/>
            <rFont val="Verdana"/>
            <family val="2"/>
          </rPr>
          <t>(c)</t>
        </r>
        <r>
          <rPr>
            <sz val="8"/>
            <color indexed="81"/>
            <rFont val="Verdana"/>
            <family val="2"/>
          </rPr>
          <t xml:space="preserve"> by the appropriate discount factor from table 3. Transfer the PV of travel time cost savings </t>
        </r>
        <r>
          <rPr>
            <b/>
            <sz val="8"/>
            <color indexed="81"/>
            <rFont val="Verdana"/>
            <family val="2"/>
          </rPr>
          <t>C</t>
        </r>
        <r>
          <rPr>
            <sz val="8"/>
            <color indexed="81"/>
            <rFont val="Verdana"/>
            <family val="2"/>
          </rPr>
          <t>, for the preferred option to worksheet 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Infrastructural Services</author>
    <author>Mehrnaz Rohani</author>
  </authors>
  <commentList>
    <comment ref="B8" authorId="0" shapeId="0" xr:uid="{62E1B8F1-79EB-4834-9FE1-DBF66C8FB905}">
      <text>
        <r>
          <rPr>
            <sz val="8"/>
            <color indexed="81"/>
            <rFont val="Verdana"/>
            <family val="2"/>
          </rPr>
          <t xml:space="preserve">1. Use the appropriate benefit calculation.
2. Fill in the appropriate information into the blank fields then calculate the PV of the category by multiplying along the line. The basis of the composite health, safety and environmental benefits used in worksheet 5 is described in section 3.2 of the MBCM.
3. Transfer the total(s) </t>
        </r>
        <r>
          <rPr>
            <b/>
            <sz val="8"/>
            <color indexed="81"/>
            <rFont val="Verdana"/>
            <family val="2"/>
          </rPr>
          <t>(a)</t>
        </r>
        <r>
          <rPr>
            <sz val="8"/>
            <color indexed="81"/>
            <rFont val="Verdana"/>
            <family val="2"/>
          </rPr>
          <t xml:space="preserve">, </t>
        </r>
        <r>
          <rPr>
            <b/>
            <sz val="8"/>
            <color indexed="81"/>
            <rFont val="Verdana"/>
            <family val="2"/>
          </rPr>
          <t>(b)</t>
        </r>
        <r>
          <rPr>
            <sz val="8"/>
            <color indexed="81"/>
            <rFont val="Verdana"/>
            <family val="2"/>
          </rPr>
          <t xml:space="preserve">, </t>
        </r>
        <r>
          <rPr>
            <b/>
            <sz val="8"/>
            <color indexed="81"/>
            <rFont val="Verdana"/>
            <family val="2"/>
          </rPr>
          <t>(c)</t>
        </r>
        <r>
          <rPr>
            <sz val="8"/>
            <color indexed="81"/>
            <rFont val="Verdana"/>
            <family val="2"/>
          </rPr>
          <t xml:space="preserve"> or </t>
        </r>
        <r>
          <rPr>
            <b/>
            <sz val="8"/>
            <color indexed="81"/>
            <rFont val="Verdana"/>
            <family val="2"/>
          </rPr>
          <t>(d)</t>
        </r>
        <r>
          <rPr>
            <sz val="8"/>
            <color indexed="81"/>
            <rFont val="Verdana"/>
            <family val="2"/>
          </rPr>
          <t xml:space="preserve"> to </t>
        </r>
        <r>
          <rPr>
            <b/>
            <sz val="8"/>
            <color indexed="81"/>
            <rFont val="Verdana"/>
            <family val="2"/>
          </rPr>
          <t>D</t>
        </r>
        <r>
          <rPr>
            <sz val="8"/>
            <color indexed="81"/>
            <rFont val="Verdana"/>
            <family val="2"/>
          </rPr>
          <t xml:space="preserve"> on worksheet 1, and </t>
        </r>
        <r>
          <rPr>
            <b/>
            <sz val="8"/>
            <color indexed="81"/>
            <rFont val="Verdana"/>
            <family val="2"/>
          </rPr>
          <t>(e)</t>
        </r>
        <r>
          <rPr>
            <sz val="8"/>
            <color indexed="81"/>
            <rFont val="Verdana"/>
            <family val="2"/>
          </rPr>
          <t xml:space="preserve"> or </t>
        </r>
        <r>
          <rPr>
            <b/>
            <sz val="8"/>
            <color indexed="81"/>
            <rFont val="Verdana"/>
            <family val="2"/>
          </rPr>
          <t>(f)</t>
        </r>
        <r>
          <rPr>
            <sz val="8"/>
            <color indexed="81"/>
            <rFont val="Verdana"/>
            <family val="2"/>
          </rPr>
          <t xml:space="preserve"> to </t>
        </r>
        <r>
          <rPr>
            <b/>
            <sz val="8"/>
            <color indexed="81"/>
            <rFont val="Verdana"/>
            <family val="2"/>
          </rPr>
          <t>E</t>
        </r>
        <r>
          <rPr>
            <sz val="8"/>
            <color indexed="81"/>
            <rFont val="Verdana"/>
            <family val="2"/>
          </rPr>
          <t xml:space="preserve"> on worksheet 1 in the absence of a specific crash analysis.</t>
        </r>
      </text>
    </comment>
    <comment ref="B29" authorId="0" shapeId="0" xr:uid="{675C2188-D9F7-483D-86F6-F20E6B9BA565}">
      <text>
        <r>
          <rPr>
            <sz val="8"/>
            <color indexed="81"/>
            <rFont val="Verdana"/>
            <family val="2"/>
          </rPr>
          <t xml:space="preserve">1. Use the appropriate benefit calculation.
2. Fill in the appropriate information into the blank fields then calculate the PV of the category by multiplying along the line. The basis of the composite health, safety and environmental benefits used in worksheet 5 is described in section 3.2 the MBCM.
3. Transfer the total(s) </t>
        </r>
        <r>
          <rPr>
            <b/>
            <sz val="8"/>
            <color indexed="81"/>
            <rFont val="Verdana"/>
            <family val="2"/>
          </rPr>
          <t>(a)</t>
        </r>
        <r>
          <rPr>
            <sz val="8"/>
            <color indexed="81"/>
            <rFont val="Verdana"/>
            <family val="2"/>
          </rPr>
          <t xml:space="preserve">, </t>
        </r>
        <r>
          <rPr>
            <b/>
            <sz val="8"/>
            <color indexed="81"/>
            <rFont val="Verdana"/>
            <family val="2"/>
          </rPr>
          <t>(b)</t>
        </r>
        <r>
          <rPr>
            <sz val="8"/>
            <color indexed="81"/>
            <rFont val="Verdana"/>
            <family val="2"/>
          </rPr>
          <t xml:space="preserve">, </t>
        </r>
        <r>
          <rPr>
            <b/>
            <sz val="8"/>
            <color indexed="81"/>
            <rFont val="Verdana"/>
            <family val="2"/>
          </rPr>
          <t>(c)</t>
        </r>
        <r>
          <rPr>
            <sz val="8"/>
            <color indexed="81"/>
            <rFont val="Verdana"/>
            <family val="2"/>
          </rPr>
          <t xml:space="preserve"> or </t>
        </r>
        <r>
          <rPr>
            <b/>
            <sz val="8"/>
            <color indexed="81"/>
            <rFont val="Verdana"/>
            <family val="2"/>
          </rPr>
          <t>(d)</t>
        </r>
        <r>
          <rPr>
            <sz val="8"/>
            <color indexed="81"/>
            <rFont val="Verdana"/>
            <family val="2"/>
          </rPr>
          <t xml:space="preserve"> to </t>
        </r>
        <r>
          <rPr>
            <b/>
            <sz val="8"/>
            <color indexed="81"/>
            <rFont val="Verdana"/>
            <family val="2"/>
          </rPr>
          <t>D</t>
        </r>
        <r>
          <rPr>
            <sz val="8"/>
            <color indexed="81"/>
            <rFont val="Verdana"/>
            <family val="2"/>
          </rPr>
          <t xml:space="preserve"> on worksheet 1, and </t>
        </r>
        <r>
          <rPr>
            <b/>
            <sz val="8"/>
            <color indexed="81"/>
            <rFont val="Verdana"/>
            <family val="2"/>
          </rPr>
          <t>(e)</t>
        </r>
        <r>
          <rPr>
            <sz val="8"/>
            <color indexed="81"/>
            <rFont val="Verdana"/>
            <family val="2"/>
          </rPr>
          <t xml:space="preserve"> or </t>
        </r>
        <r>
          <rPr>
            <b/>
            <sz val="8"/>
            <color indexed="81"/>
            <rFont val="Verdana"/>
            <family val="2"/>
          </rPr>
          <t>(f)</t>
        </r>
        <r>
          <rPr>
            <sz val="8"/>
            <color indexed="81"/>
            <rFont val="Verdana"/>
            <family val="2"/>
          </rPr>
          <t xml:space="preserve"> to </t>
        </r>
        <r>
          <rPr>
            <b/>
            <sz val="8"/>
            <color indexed="81"/>
            <rFont val="Verdana"/>
            <family val="2"/>
          </rPr>
          <t>E</t>
        </r>
        <r>
          <rPr>
            <sz val="8"/>
            <color indexed="81"/>
            <rFont val="Verdana"/>
            <family val="2"/>
          </rPr>
          <t xml:space="preserve"> on worksheet 1 in the absence of a specific crash analysis.</t>
        </r>
      </text>
    </comment>
    <comment ref="C36" authorId="1" shapeId="0" xr:uid="{9BF86B47-5746-4DB3-94AF-8D773893724C}">
      <text>
        <r>
          <rPr>
            <sz val="9"/>
            <color indexed="81"/>
            <rFont val="Tahoma"/>
            <family val="2"/>
          </rPr>
          <t xml:space="preserve">The weigted average health benefit of conventional and electric cycling $4.49, estimated based on 83% and 17% splits. 
</t>
        </r>
      </text>
    </comment>
    <comment ref="B49" authorId="0" shapeId="0" xr:uid="{ED63ACA1-8B3F-4621-807E-A4EB9BE46AA8}">
      <text>
        <r>
          <rPr>
            <sz val="8"/>
            <color indexed="81"/>
            <rFont val="Verdana"/>
            <family val="2"/>
          </rPr>
          <t xml:space="preserve">1. Use the appropriate benefit calculation.
2. Fill in the appropriate information into the blank fields then calculate the PV of the category by multiplying along the line. The basis of the composite health, safety and environmental benefits used in worksheet 5 is described in the MBCM.
3. Transfer the total(s) </t>
        </r>
        <r>
          <rPr>
            <b/>
            <sz val="8"/>
            <color indexed="81"/>
            <rFont val="Verdana"/>
            <family val="2"/>
          </rPr>
          <t>(a)</t>
        </r>
        <r>
          <rPr>
            <sz val="8"/>
            <color indexed="81"/>
            <rFont val="Verdana"/>
            <family val="2"/>
          </rPr>
          <t xml:space="preserve">, </t>
        </r>
        <r>
          <rPr>
            <b/>
            <sz val="8"/>
            <color indexed="81"/>
            <rFont val="Verdana"/>
            <family val="2"/>
          </rPr>
          <t>(b)</t>
        </r>
        <r>
          <rPr>
            <sz val="8"/>
            <color indexed="81"/>
            <rFont val="Verdana"/>
            <family val="2"/>
          </rPr>
          <t xml:space="preserve">, </t>
        </r>
        <r>
          <rPr>
            <b/>
            <sz val="8"/>
            <color indexed="81"/>
            <rFont val="Verdana"/>
            <family val="2"/>
          </rPr>
          <t>(c)</t>
        </r>
        <r>
          <rPr>
            <sz val="8"/>
            <color indexed="81"/>
            <rFont val="Verdana"/>
            <family val="2"/>
          </rPr>
          <t xml:space="preserve"> or </t>
        </r>
        <r>
          <rPr>
            <b/>
            <sz val="8"/>
            <color indexed="81"/>
            <rFont val="Verdana"/>
            <family val="2"/>
          </rPr>
          <t>(d)</t>
        </r>
        <r>
          <rPr>
            <sz val="8"/>
            <color indexed="81"/>
            <rFont val="Verdana"/>
            <family val="2"/>
          </rPr>
          <t xml:space="preserve"> to </t>
        </r>
        <r>
          <rPr>
            <b/>
            <sz val="8"/>
            <color indexed="81"/>
            <rFont val="Verdana"/>
            <family val="2"/>
          </rPr>
          <t>D</t>
        </r>
        <r>
          <rPr>
            <sz val="8"/>
            <color indexed="81"/>
            <rFont val="Verdana"/>
            <family val="2"/>
          </rPr>
          <t xml:space="preserve"> on worksheet 1, and </t>
        </r>
        <r>
          <rPr>
            <b/>
            <sz val="8"/>
            <color indexed="81"/>
            <rFont val="Verdana"/>
            <family val="2"/>
          </rPr>
          <t>(e)</t>
        </r>
        <r>
          <rPr>
            <sz val="8"/>
            <color indexed="81"/>
            <rFont val="Verdana"/>
            <family val="2"/>
          </rPr>
          <t xml:space="preserve"> or </t>
        </r>
        <r>
          <rPr>
            <b/>
            <sz val="8"/>
            <color indexed="81"/>
            <rFont val="Verdana"/>
            <family val="2"/>
          </rPr>
          <t>(f)</t>
        </r>
        <r>
          <rPr>
            <sz val="8"/>
            <color indexed="81"/>
            <rFont val="Verdana"/>
            <family val="2"/>
          </rPr>
          <t xml:space="preserve"> to </t>
        </r>
        <r>
          <rPr>
            <b/>
            <sz val="8"/>
            <color indexed="81"/>
            <rFont val="Verdana"/>
            <family val="2"/>
          </rPr>
          <t>E</t>
        </r>
        <r>
          <rPr>
            <sz val="8"/>
            <color indexed="81"/>
            <rFont val="Verdana"/>
            <family val="2"/>
          </rPr>
          <t xml:space="preserve"> on worksheet 1 in the absence of a specific crash analysis.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Information Services</author>
  </authors>
  <commentList>
    <comment ref="A15" authorId="0" shapeId="0" xr:uid="{E6D1427D-4D41-46AE-83FF-48D02F191C59}">
      <text>
        <r>
          <rPr>
            <sz val="8"/>
            <color indexed="81"/>
            <rFont val="Tahoma"/>
            <family val="2"/>
          </rPr>
          <t>3. Enter number of years of typical crash rate records</t>
        </r>
      </text>
    </comment>
    <comment ref="A16" authorId="0" shapeId="0" xr:uid="{B7685992-4410-4454-B86F-CA00DD4D95A7}">
      <text>
        <r>
          <rPr>
            <sz val="8"/>
            <color indexed="81"/>
            <rFont val="Tahoma"/>
            <family val="2"/>
          </rPr>
          <t>4. Enter the number of reported crashes in the reporting period for each of the severity categories</t>
        </r>
      </text>
    </comment>
    <comment ref="A17" authorId="0" shapeId="0" xr:uid="{9D9FB416-B15F-4052-BF4D-A85E0DB07FC3}">
      <text>
        <r>
          <rPr>
            <sz val="8"/>
            <color indexed="81"/>
            <rFont val="Tahoma"/>
            <family val="2"/>
          </rPr>
          <t>5. If the number of fatal and serious crashes at the site is greater than the limiting number specified in figure A1 of the MBCM, leave line (5) blank and go to line (6). Otherwise, in line (5) enter the ratio of fatal/(fatal + serious) and serious/(fatal + serious) from table A15, A16 or A17.</t>
        </r>
      </text>
    </comment>
    <comment ref="A18" authorId="0" shapeId="0" xr:uid="{89E13DE4-2B7D-4B32-9F46-80D0D9B73858}">
      <text>
        <r>
          <rPr>
            <sz val="8"/>
            <color indexed="81"/>
            <rFont val="Tahoma"/>
            <family val="2"/>
          </rPr>
          <t>6. Multiply the total fatal + serious crashes (4) by the ratios (5) to get the adjusted fatal and serious crashes (6) for the reporting period. For minor and non–injury crashes transfer the crash numbers from (4).</t>
        </r>
      </text>
    </comment>
    <comment ref="A19" authorId="0" shapeId="0" xr:uid="{C9F9DB4F-1747-4814-8107-43CF2F9355C6}">
      <text>
        <r>
          <rPr>
            <sz val="8"/>
            <color indexed="81"/>
            <rFont val="Tahoma"/>
            <family val="2"/>
          </rPr>
          <t>7. To get the crashes per year, divide (6) by (3).</t>
        </r>
      </text>
    </comment>
    <comment ref="A20" authorId="0" shapeId="0" xr:uid="{57B94172-7CBB-4A42-9855-AA2ED89C6846}">
      <text>
        <r>
          <rPr>
            <sz val="8"/>
            <color indexed="81"/>
            <rFont val="Tahoma"/>
            <family val="2"/>
          </rPr>
          <t>8. Enter the adjustment factor for the crash trend from table A13.</t>
        </r>
      </text>
    </comment>
    <comment ref="A21" authorId="0" shapeId="0" xr:uid="{08BA5E8C-548D-40A5-BA61-56CEEF39442A}">
      <text>
        <r>
          <rPr>
            <sz val="8"/>
            <color indexed="81"/>
            <rFont val="Tahoma"/>
            <family val="2"/>
          </rPr>
          <t>9. Multiply (7) by (8) to obtain the crashes per year (at time zero) for each crash category</t>
        </r>
      </text>
    </comment>
    <comment ref="A22" authorId="0" shapeId="0" xr:uid="{CD3ECFF9-2851-4640-B237-EE9E05CEFFA8}">
      <text>
        <r>
          <rPr>
            <sz val="8"/>
            <color indexed="81"/>
            <rFont val="Tahoma"/>
            <family val="2"/>
          </rPr>
          <t>10. Enter the under–reporting factors from tables A18 and A19.</t>
        </r>
      </text>
    </comment>
    <comment ref="A23" authorId="0" shapeId="0" xr:uid="{D3CF451E-693A-4095-81D9-80A27D28EF0D}">
      <text>
        <r>
          <rPr>
            <sz val="8"/>
            <color indexed="81"/>
            <rFont val="Tahoma"/>
            <family val="2"/>
          </rPr>
          <t>11. Multiply (9) by (10) to get the total estimated crashes per year</t>
        </r>
      </text>
    </comment>
    <comment ref="A24" authorId="0" shapeId="0" xr:uid="{62E89C85-FA3A-4704-B086-C3B93DB79EB7}">
      <text>
        <r>
          <rPr>
            <sz val="8"/>
            <color indexed="81"/>
            <rFont val="Tahoma"/>
            <family val="2"/>
          </rPr>
          <t>12. Enter the crash costs for 100km/h speed limit for each crash category (all movements, all vehicles) from the tables A24 to A27.</t>
        </r>
      </text>
    </comment>
    <comment ref="A25" authorId="0" shapeId="0" xr:uid="{792F3419-B765-413E-A9B8-5F04B12B5E19}">
      <text>
        <r>
          <rPr>
            <sz val="8"/>
            <color indexed="81"/>
            <rFont val="Tahoma"/>
            <family val="2"/>
          </rPr>
          <t>13. Enter the crash costs for 50 km/h speed limit for each crash category (all movements, all vehicles) from the tables A20 to A23.</t>
        </r>
      </text>
    </comment>
    <comment ref="A26" authorId="0" shapeId="0" xr:uid="{D861C836-E461-4234-88AB-DFEA9B59978B}">
      <text>
        <r>
          <rPr>
            <sz val="8"/>
            <color indexed="81"/>
            <rFont val="Tahoma"/>
            <family val="2"/>
          </rPr>
          <t>14. Calculate the mean speed adjustment for the do minimum [((1) – 50) divided by 50]</t>
        </r>
      </text>
    </comment>
    <comment ref="A27" authorId="0" shapeId="0" xr:uid="{585896FA-A94D-47D3-BB52-78F1E8AF2102}">
      <text>
        <r>
          <rPr>
            <sz val="8"/>
            <color indexed="81"/>
            <rFont val="Tahoma"/>
            <family val="2"/>
          </rPr>
          <t>15. Calculate the cost per crash for the do minimum by adding (13) and (14) and then multiplying this by the difference between crash costs in (12) and (13).</t>
        </r>
      </text>
    </comment>
    <comment ref="A28" authorId="0" shapeId="0" xr:uid="{C596A45C-49F4-49C5-88C8-48D227D2D3E2}">
      <text>
        <r>
          <rPr>
            <sz val="8"/>
            <color indexed="81"/>
            <rFont val="Tahoma"/>
            <family val="2"/>
          </rPr>
          <t>16. Multiply crashes per year (11) by (15) to get cost per crash per year</t>
        </r>
      </text>
    </comment>
    <comment ref="A29" authorId="0" shapeId="0" xr:uid="{27277D83-E386-495A-97C7-2EC1553A6593}">
      <text>
        <r>
          <rPr>
            <sz val="8"/>
            <color indexed="81"/>
            <rFont val="Tahoma"/>
            <family val="2"/>
          </rPr>
          <t>17. Add the costs for fatal, serious, minor and non–injury crashes in line (16) to get the total crash cost per year</t>
        </r>
      </text>
    </comment>
    <comment ref="A31" authorId="0" shapeId="0" xr:uid="{B8C95737-689E-4A54-9A06-DDD648FC63C7}">
      <text>
        <r>
          <rPr>
            <sz val="8"/>
            <color indexed="81"/>
            <rFont val="Tahoma"/>
            <family val="2"/>
          </rPr>
          <t xml:space="preserve">18. Determine the forecast percentage crash reduction for each crash category </t>
        </r>
      </text>
    </comment>
    <comment ref="A32" authorId="0" shapeId="0" xr:uid="{4C225971-185E-45D3-BB23-6C512F9F4D25}">
      <text>
        <r>
          <rPr>
            <sz val="8"/>
            <color indexed="81"/>
            <rFont val="Tahoma"/>
            <family val="2"/>
          </rPr>
          <t>19. Determine the proportion of crashes remaining [100% minus the percentage reduction in (18)]</t>
        </r>
      </text>
    </comment>
    <comment ref="A33" authorId="0" shapeId="0" xr:uid="{B2EC73E4-2A4D-46DF-9E83-FC2F629AF368}">
      <text>
        <r>
          <rPr>
            <sz val="8"/>
            <color indexed="81"/>
            <rFont val="Tahoma"/>
            <family val="2"/>
          </rPr>
          <t>20. Calculate the predicted crashes per year by multiplying the crashes per year of the do minimum (11) by the percentage of crashes remaining (19)</t>
        </r>
      </text>
    </comment>
    <comment ref="A34" authorId="0" shapeId="0" xr:uid="{23443852-0CE9-42C2-8F6E-FF4390D48076}">
      <text>
        <r>
          <rPr>
            <sz val="8"/>
            <color indexed="81"/>
            <rFont val="Tahoma"/>
            <family val="2"/>
          </rPr>
          <t>21. Repeat the calculations from lines (12) through (15), in lines (21) through (24) using the option mean speed (2), to obtain the cost per crash for the option (24)</t>
        </r>
      </text>
    </comment>
    <comment ref="A38" authorId="0" shapeId="0" xr:uid="{87F89A8B-8D21-4DE2-8DFC-1D42B8500014}">
      <text>
        <r>
          <rPr>
            <sz val="8"/>
            <color indexed="81"/>
            <rFont val="Tahoma"/>
            <family val="2"/>
          </rPr>
          <t>25. Multiply the predicted number of crashes per year (20) by the cost per crash (24) to get the total crash costs per year for each crash category</t>
        </r>
      </text>
    </comment>
    <comment ref="A39" authorId="0" shapeId="0" xr:uid="{55914CC8-6908-4DC6-85EB-482DC1215B00}">
      <text>
        <r>
          <rPr>
            <sz val="8"/>
            <color indexed="81"/>
            <rFont val="Tahoma"/>
            <family val="2"/>
          </rPr>
          <t xml:space="preserve">26. Add together the costs for fatal, serious, minor and non–injury crashes to get total crash costs per year </t>
        </r>
      </text>
    </comment>
    <comment ref="A40" authorId="0" shapeId="0" xr:uid="{680ED3E2-B9FC-4C53-B97B-B886ABB23A27}">
      <text>
        <r>
          <rPr>
            <sz val="8"/>
            <color indexed="81"/>
            <rFont val="Tahoma"/>
            <family val="2"/>
          </rPr>
          <t xml:space="preserve">27. Calculate the annual crash cost savings by subtracting the values in (26) from (17). </t>
        </r>
      </text>
    </comment>
    <comment ref="A41" authorId="0" shapeId="0" xr:uid="{B088D708-1CF2-43FD-B4E8-9E481AE31829}">
      <text>
        <r>
          <rPr>
            <sz val="8"/>
            <color indexed="81"/>
            <rFont val="Tahoma"/>
            <family val="2"/>
          </rPr>
          <t>28. Multiply the annual crash cost savings (27) – or the total from the crash rate or weighted crash analysis – by the discount factor for the appropriate speed limit and traffic growth rate to determine the PV crash cost savings.</t>
        </r>
      </text>
    </comment>
    <comment ref="A42" authorId="0" shapeId="0" xr:uid="{774BDA7B-9048-48F9-A237-EFFFA5292EAB}">
      <text>
        <r>
          <rPr>
            <sz val="8"/>
            <color indexed="81"/>
            <rFont val="Tahoma"/>
            <family val="2"/>
          </rPr>
          <t>Transfer this total, E for the preferred option to worksheet 1.</t>
        </r>
      </text>
    </comment>
  </commentList>
</comments>
</file>

<file path=xl/sharedStrings.xml><?xml version="1.0" encoding="utf-8"?>
<sst xmlns="http://schemas.openxmlformats.org/spreadsheetml/2006/main" count="2339" uniqueCount="1006">
  <si>
    <t>Appraisal Summary Table Template</t>
  </si>
  <si>
    <t>Option number</t>
  </si>
  <si>
    <t>Date:</t>
  </si>
  <si>
    <t>Evaluation Period: 
(baseline and forecast year) 
e.g 2020 - 2060</t>
  </si>
  <si>
    <t>Option Name:</t>
  </si>
  <si>
    <t>This is the preferred option</t>
  </si>
  <si>
    <t>One</t>
  </si>
  <si>
    <t>Problem/opportunity statement:</t>
  </si>
  <si>
    <t>Investment objectives:</t>
  </si>
  <si>
    <t>How project gives effect to GPS:</t>
  </si>
  <si>
    <t>How project gives effect to local community outcomes:</t>
  </si>
  <si>
    <t>… type</t>
  </si>
  <si>
    <t>1.  Summary of Non-Monetised Impacts (Description)</t>
  </si>
  <si>
    <t>2.  Summary of Financial Impacts (nominal, non-discounted)</t>
  </si>
  <si>
    <t>3.  Summary of Monetised Option Impacts (present value, discounted)</t>
  </si>
  <si>
    <t>Summary description of non-monetised measures and impacts</t>
  </si>
  <si>
    <t>Capital Costs</t>
  </si>
  <si>
    <t>N/A</t>
  </si>
  <si>
    <t>Operating Costs</t>
  </si>
  <si>
    <t>Total Economic Costs</t>
  </si>
  <si>
    <t>Total Financial Costs</t>
  </si>
  <si>
    <t>Transport Outcomes</t>
  </si>
  <si>
    <r>
      <t xml:space="preserve">Non-Monetised Impact:
</t>
    </r>
    <r>
      <rPr>
        <sz val="12"/>
        <color indexed="63"/>
        <rFont val="Calibri"/>
        <family val="2"/>
      </rPr>
      <t>(description in numerical or narrative terms)</t>
    </r>
  </si>
  <si>
    <r>
      <rPr>
        <b/>
        <sz val="12"/>
        <color indexed="56"/>
        <rFont val="Calibri"/>
        <family val="2"/>
      </rPr>
      <t>Monetised Impact:</t>
    </r>
    <r>
      <rPr>
        <sz val="12"/>
        <color indexed="56"/>
        <rFont val="Whitney Semibold"/>
      </rPr>
      <t xml:space="preserve">
</t>
    </r>
    <r>
      <rPr>
        <sz val="12"/>
        <color indexed="63"/>
        <rFont val="Calibri"/>
        <family val="2"/>
      </rPr>
      <t>(description in dollar terms in real terms, non-discounted)</t>
    </r>
  </si>
  <si>
    <t>Name of Benefit</t>
  </si>
  <si>
    <t>Name of Measure:</t>
  </si>
  <si>
    <t>Baseline:</t>
  </si>
  <si>
    <t>Do Minimum Impact:</t>
  </si>
  <si>
    <t>Option Impact:</t>
  </si>
  <si>
    <r>
      <rPr>
        <b/>
        <sz val="12"/>
        <color indexed="50"/>
        <rFont val="Calibri"/>
        <family val="2"/>
      </rPr>
      <t>Healthy and safe people</t>
    </r>
    <r>
      <rPr>
        <sz val="12"/>
        <color indexed="50"/>
        <rFont val="Whitney Semibold"/>
      </rPr>
      <t xml:space="preserve"> </t>
    </r>
    <r>
      <rPr>
        <i/>
        <sz val="12"/>
        <color indexed="63"/>
        <rFont val="Calibri"/>
        <family val="2"/>
      </rPr>
      <t>(Please insert a row below to add an additional benefit or measure, and delete rows as appropriate)</t>
    </r>
  </si>
  <si>
    <t>1.1 Impact on social cost and incidents of crashes</t>
  </si>
  <si>
    <t>1.1.3 Deaths and serious injuries</t>
  </si>
  <si>
    <t>3.1 Impact of mode on physical and mental health</t>
  </si>
  <si>
    <t>3.1.1 Physical health benefits from active modes</t>
  </si>
  <si>
    <r>
      <rPr>
        <b/>
        <sz val="12"/>
        <color indexed="52"/>
        <rFont val="Calibri"/>
        <family val="2"/>
      </rPr>
      <t>Resilience and security</t>
    </r>
    <r>
      <rPr>
        <sz val="12"/>
        <color indexed="53"/>
        <rFont val="Whitney Semibold"/>
      </rPr>
      <t xml:space="preserve"> </t>
    </r>
    <r>
      <rPr>
        <i/>
        <sz val="12"/>
        <color indexed="63"/>
        <rFont val="Calibri"/>
        <family val="2"/>
      </rPr>
      <t>(Please insert a row below to add an additional benefit or measure, and delete rows as appropriate)</t>
    </r>
  </si>
  <si>
    <r>
      <rPr>
        <b/>
        <sz val="12"/>
        <color indexed="53"/>
        <rFont val="Calibri"/>
        <family val="2"/>
      </rPr>
      <t xml:space="preserve">Economic prosperity - excluding wider economic impacts </t>
    </r>
    <r>
      <rPr>
        <i/>
        <sz val="12"/>
        <color indexed="63"/>
        <rFont val="Calibri"/>
        <family val="2"/>
      </rPr>
      <t>(Please insert a row below to add an additional benefit or measure, and delete rows as appropriate)</t>
    </r>
  </si>
  <si>
    <t>5.2 Impact on network productivity and utilisation</t>
  </si>
  <si>
    <t>10.1.9 Travel time</t>
  </si>
  <si>
    <r>
      <rPr>
        <b/>
        <sz val="12"/>
        <color indexed="17"/>
        <rFont val="Calibri"/>
        <family val="2"/>
      </rPr>
      <t>Environmental sustainability</t>
    </r>
    <r>
      <rPr>
        <i/>
        <sz val="12"/>
        <color indexed="50"/>
        <rFont val="Calibri"/>
        <family val="2"/>
      </rPr>
      <t xml:space="preserve"> </t>
    </r>
    <r>
      <rPr>
        <i/>
        <sz val="12"/>
        <rFont val="Calibri"/>
        <family val="2"/>
      </rPr>
      <t>(Please insert a row below to add an additional benefit or measure, and delete rows as appropriate)</t>
    </r>
  </si>
  <si>
    <t>8.1 Impact on greenhouse gas emissions</t>
  </si>
  <si>
    <t>8.1.1 CO2 emissions</t>
  </si>
  <si>
    <t>8.1.2 VKT</t>
  </si>
  <si>
    <t>9.1 Impact on resource efficiency</t>
  </si>
  <si>
    <t>9.1.1 Resource efficiency</t>
  </si>
  <si>
    <r>
      <rPr>
        <b/>
        <sz val="12"/>
        <color indexed="57"/>
        <rFont val="Calibri"/>
        <family val="2"/>
      </rPr>
      <t>Inclusive access</t>
    </r>
    <r>
      <rPr>
        <i/>
        <sz val="12"/>
        <color indexed="57"/>
        <rFont val="Calibri"/>
        <family val="2"/>
      </rPr>
      <t xml:space="preserve"> </t>
    </r>
    <r>
      <rPr>
        <i/>
        <sz val="12"/>
        <rFont val="Calibri"/>
        <family val="2"/>
      </rPr>
      <t>(Please insert a row below to add an additional benefit or measure, and delete rows as appropriate)</t>
    </r>
  </si>
  <si>
    <t>12.1 Impact on Te Ao Māori</t>
  </si>
  <si>
    <t>12.1.1 Te Ao Māori</t>
  </si>
  <si>
    <t>10.1 Impact on user experience of the transport system</t>
  </si>
  <si>
    <t>Rationale for option selection decision</t>
  </si>
  <si>
    <t>Healthy and safe people benefits</t>
  </si>
  <si>
    <t>Resilience and security benefits</t>
  </si>
  <si>
    <t>Economic Prosperity benefits</t>
  </si>
  <si>
    <t>Environmental sustainability benefits</t>
  </si>
  <si>
    <t>Inclusive access benefits</t>
  </si>
  <si>
    <t>4.1 Impact on system vunerabilities and redundancies</t>
  </si>
  <si>
    <t>5.1 Impact on system reliability</t>
  </si>
  <si>
    <t>7.1 Impact on water</t>
  </si>
  <si>
    <t>1.2 Impact on a safe system</t>
  </si>
  <si>
    <t>Double click to add alternative benefit</t>
  </si>
  <si>
    <t>7.2 Impact on land and biodiversity</t>
  </si>
  <si>
    <t>10.2 Impact on mode choice</t>
  </si>
  <si>
    <t>2.1 Impact on perceptions of safety and security</t>
  </si>
  <si>
    <t>6.1 Wider economic benefit (productivity)</t>
  </si>
  <si>
    <t>10.3 Impact on access to opportunities</t>
  </si>
  <si>
    <t>6.2 Wider economic benefit (employment impact)</t>
  </si>
  <si>
    <t>10.4 Impact on community cohesion</t>
  </si>
  <si>
    <t>3.2 Impact of air emissions on health</t>
  </si>
  <si>
    <t>6.3 Wider economic benefit (imperfect competition)</t>
  </si>
  <si>
    <t>11.1 Impact on heritage and cultural values</t>
  </si>
  <si>
    <t>3.3 Impact of noise and vibration on health</t>
  </si>
  <si>
    <t>6.4 Wider economic benefit (regional economic development)</t>
  </si>
  <si>
    <t>11.2 Impact on landscape</t>
  </si>
  <si>
    <t>Measures</t>
  </si>
  <si>
    <t>11.3 Impact on townscape</t>
  </si>
  <si>
    <t>1.1.1 Collective risk (crash density)</t>
  </si>
  <si>
    <t>1.1.2 Crashes by severity</t>
  </si>
  <si>
    <t>1.1.4 Personal risk (crash rate)</t>
  </si>
  <si>
    <t>1.1 Impact on social cost of deaths and serious injuries</t>
  </si>
  <si>
    <t>1.2.1 Road assessment rating - roads</t>
  </si>
  <si>
    <t>1.2.2 Road assessment rating - state highways</t>
  </si>
  <si>
    <t>1.2.3 Travel speed gap</t>
  </si>
  <si>
    <t>2.1.1 Access - perception</t>
  </si>
  <si>
    <t>3.2.1 Ambient air quality - NO2</t>
  </si>
  <si>
    <t>3.2.2 Ambient air quality - PM10</t>
  </si>
  <si>
    <t>3.3.1 Noise level</t>
  </si>
  <si>
    <t>4.1.1 Availablity of a viable alternative to high-risk and high-impact route</t>
  </si>
  <si>
    <t>4.1.2 Level of service and risk</t>
  </si>
  <si>
    <t>5.1.1 Punctuality - public transport</t>
  </si>
  <si>
    <t>5.1.2 Travel time reliability - motor vehicles</t>
  </si>
  <si>
    <t>5.1.3 Travel time delay</t>
  </si>
  <si>
    <t>5.1.4 Temporal availability - road</t>
  </si>
  <si>
    <t>5.2.1 Spatial coverage - freight</t>
  </si>
  <si>
    <t>5.2.2 Freight - mode share value</t>
  </si>
  <si>
    <t>5.2.3 Freight - mode share weight</t>
  </si>
  <si>
    <t>5.2.4 Freight - throughput value</t>
  </si>
  <si>
    <t>5.2.5 Freight - throughput weight</t>
  </si>
  <si>
    <t>5.2.6 Access to key economic destinations (all modes)</t>
  </si>
  <si>
    <t>7.1.1 Water quality</t>
  </si>
  <si>
    <t>7.2.1 Biodiversity</t>
  </si>
  <si>
    <t>7.2.2 Productive land</t>
  </si>
  <si>
    <t>9.1.2 Embodied carbon</t>
  </si>
  <si>
    <t>9.1.3 Energy use</t>
  </si>
  <si>
    <t>10.1.1 People - throughput of pedestrians, cyclists and public transport boardings</t>
  </si>
  <si>
    <t>(Repeat) 2.1.1 Access - perception</t>
  </si>
  <si>
    <t>10.1.2 Pedestrian delay</t>
  </si>
  <si>
    <t>10.1.3 Ease of getting on/off public transport services</t>
  </si>
  <si>
    <t>10.1.4 Network condition - cycling</t>
  </si>
  <si>
    <t>10.1.5 Network condition - road</t>
  </si>
  <si>
    <t>10.1.6 People - throughput</t>
  </si>
  <si>
    <t>10.1.7 People - throughput (UCP)</t>
  </si>
  <si>
    <t>10.1.8 Traffic - throughput</t>
  </si>
  <si>
    <t>10.2.1 People - mode share</t>
  </si>
  <si>
    <t>(Repeat) 8.1.2 Mode shift from single occupancy private vehicle</t>
  </si>
  <si>
    <t>8.1.2 Mode shift from single occupancy private vehicle</t>
  </si>
  <si>
    <t>10.2.2 Accessibility - public transport facilities</t>
  </si>
  <si>
    <t>10.2.3 Spatial coverage - cycle lanes and paths</t>
  </si>
  <si>
    <t>10.2.4 Spatial coverage - cycling facilities</t>
  </si>
  <si>
    <t>10.2.5 Spatial coverage - public transport - employees</t>
  </si>
  <si>
    <t>10.2.6 Spatial coverage - public transport - resident population</t>
  </si>
  <si>
    <t>10.2.6a Spatial coverage - public transport - new residential dwellings</t>
  </si>
  <si>
    <t>10.2.7 Temporal availability - public transport</t>
  </si>
  <si>
    <t>10.2.8 Cost of access to key destinations - all modes</t>
  </si>
  <si>
    <t>10.2.9 Pricing - more efficient</t>
  </si>
  <si>
    <t>10.2.10 Traffic - mode share (number)</t>
  </si>
  <si>
    <t>10.2.10b Traffic - mode share (distance)</t>
  </si>
  <si>
    <t>10.3.1 Access to key social destinations (all modes)</t>
  </si>
  <si>
    <t>10.4.1 Social connectedness</t>
  </si>
  <si>
    <t>10.4.2 Isolation</t>
  </si>
  <si>
    <t>10.4.3 Severance</t>
  </si>
  <si>
    <t>11.1.1 Amenity value - natural and built environment</t>
  </si>
  <si>
    <t>11.1.2 Heritage and cultural values</t>
  </si>
  <si>
    <t>11.2.1 Landscape</t>
  </si>
  <si>
    <t>11.3.1 Townscape</t>
  </si>
  <si>
    <t>Please type in alternate measure</t>
  </si>
  <si>
    <t>Discount rate</t>
  </si>
  <si>
    <t xml:space="preserve">Base year </t>
  </si>
  <si>
    <t>Traffic growth</t>
  </si>
  <si>
    <t>Period of analysis</t>
  </si>
  <si>
    <t>Uniform series conversion factor</t>
  </si>
  <si>
    <t>Arithmetic series conversion factor</t>
  </si>
  <si>
    <t>Bespoke</t>
  </si>
  <si>
    <t>Blank</t>
  </si>
  <si>
    <t>USPWF(1)</t>
  </si>
  <si>
    <t>USPWF(E)</t>
  </si>
  <si>
    <t>AGPWF(E)</t>
  </si>
  <si>
    <t>AGPWF(1)</t>
  </si>
  <si>
    <t>Conversion factor (discounted to real)</t>
  </si>
  <si>
    <t>LABEL_SYS</t>
  </si>
  <si>
    <t>KEY</t>
  </si>
  <si>
    <t>VALUE</t>
  </si>
  <si>
    <t>Worksheet 1 - Evaluation Summary and TIO Upload</t>
  </si>
  <si>
    <t>Effective from 31 August 2020</t>
  </si>
  <si>
    <t>Upload V9.0 (31Aug2020)</t>
  </si>
  <si>
    <t>ECONOMIC_EVAL_COMPLETED_DATE</t>
  </si>
  <si>
    <t>This spreadsheet can be automatically uploaded into Transport Investment Online. To enable automatic upload please do not adjust the columns or rows.</t>
  </si>
  <si>
    <t>Please make any additional comments or clarifying notes as necessary to aid understanding (note that these fall outside of the set print and TIO upload range)</t>
  </si>
  <si>
    <t>TIMEZERO_ECONOMIC_EVAL_DATE</t>
  </si>
  <si>
    <t>Activity name</t>
  </si>
  <si>
    <t>BASE_DATE_COSTS_BENEFITS</t>
  </si>
  <si>
    <t>Reference</t>
  </si>
  <si>
    <t>ROAD_TRAFFIC_AADT</t>
  </si>
  <si>
    <t>base_rate</t>
  </si>
  <si>
    <t>growth_rate</t>
  </si>
  <si>
    <t>Evaluator(s)                                      - name, organisation</t>
  </si>
  <si>
    <t>PEDESTRIANS_AAD</t>
  </si>
  <si>
    <t>Reviewer(s)                                       - name, organisation</t>
  </si>
  <si>
    <t>Date of evaluation</t>
  </si>
  <si>
    <t>mm/yyyy</t>
  </si>
  <si>
    <t>new</t>
  </si>
  <si>
    <t>CYCLISTS_AAD</t>
  </si>
  <si>
    <t>Time zero / implementation start date</t>
  </si>
  <si>
    <t>1 July yyyy</t>
  </si>
  <si>
    <t>Construction duration</t>
  </si>
  <si>
    <t>Months</t>
  </si>
  <si>
    <t>Base date of costs and benefits</t>
  </si>
  <si>
    <t>ANNUAL_PATRONAGE_TOTAL</t>
  </si>
  <si>
    <t>Location</t>
  </si>
  <si>
    <t>Problem definition</t>
  </si>
  <si>
    <t>ANNUAL_PATRONAGE_PEAK</t>
  </si>
  <si>
    <t>Do minimum description</t>
  </si>
  <si>
    <t>Alternatives considered (or page references to relevant)</t>
  </si>
  <si>
    <t>FREIGHT_VOLUME</t>
  </si>
  <si>
    <t>Options considered (or page references to relevant)</t>
  </si>
  <si>
    <t>Preferred option description</t>
  </si>
  <si>
    <t>HEAVY_VEHICLES_VOLUME_AADT</t>
  </si>
  <si>
    <t>Statistics</t>
  </si>
  <si>
    <t>Base rate</t>
  </si>
  <si>
    <t>Growth rate (%)</t>
  </si>
  <si>
    <t>New users/transfer</t>
  </si>
  <si>
    <t>Road traffic - Annual Average Daily Traffic (AADT)</t>
  </si>
  <si>
    <t>AADT</t>
  </si>
  <si>
    <t>HEAVY_VEHICLES_VOLUME_RATE</t>
  </si>
  <si>
    <t>Pedestrians - Annual Average Daily</t>
  </si>
  <si>
    <t>Count</t>
  </si>
  <si>
    <t>ROAD_CATEGORY</t>
  </si>
  <si>
    <t xml:space="preserve">Cyclists - Annual Average Daily </t>
  </si>
  <si>
    <t>ROUGHNESS</t>
  </si>
  <si>
    <t>before</t>
  </si>
  <si>
    <t>Annual Patronage - Total</t>
  </si>
  <si>
    <t>after</t>
  </si>
  <si>
    <t>Annual Patronage - Peak Period</t>
  </si>
  <si>
    <t>POSTED_SPEED</t>
  </si>
  <si>
    <t>Freight volume</t>
  </si>
  <si>
    <t>tonnes</t>
  </si>
  <si>
    <t>Heavy Vehicles Volume</t>
  </si>
  <si>
    <t>AVERAGE_TRAFFIC_SPPEED</t>
  </si>
  <si>
    <t>%</t>
  </si>
  <si>
    <t>Road Category</t>
  </si>
  <si>
    <t>ROAD_LENGTH</t>
  </si>
  <si>
    <t>Before</t>
  </si>
  <si>
    <t>After</t>
  </si>
  <si>
    <t>ROAD_WIDTH</t>
  </si>
  <si>
    <t>Roughness</t>
  </si>
  <si>
    <t>IRI/NAASRA</t>
  </si>
  <si>
    <t>Posted speed</t>
  </si>
  <si>
    <t>km/h</t>
  </si>
  <si>
    <t>TRAVEL_TIME</t>
  </si>
  <si>
    <t>Average traffic speed</t>
  </si>
  <si>
    <t>Length of road / route</t>
  </si>
  <si>
    <t>km</t>
  </si>
  <si>
    <t>PEAK_PERIOD_AM</t>
  </si>
  <si>
    <t>start</t>
  </si>
  <si>
    <t>Road width</t>
  </si>
  <si>
    <t>metres</t>
  </si>
  <si>
    <t>stop</t>
  </si>
  <si>
    <t>Travel time on route</t>
  </si>
  <si>
    <t>minutes</t>
  </si>
  <si>
    <t>PEAK_PERIOD_PM</t>
  </si>
  <si>
    <t>Period start am</t>
  </si>
  <si>
    <t>Period stop am</t>
  </si>
  <si>
    <t>Period start pm</t>
  </si>
  <si>
    <t>Period stop pm</t>
  </si>
  <si>
    <t>PEAK_PERIOD_FLOW</t>
  </si>
  <si>
    <t xml:space="preserve">Peak Period  </t>
  </si>
  <si>
    <t>RECORDED_CRASHES</t>
  </si>
  <si>
    <t>fatal</t>
  </si>
  <si>
    <t>Peak Period Traffic flow</t>
  </si>
  <si>
    <t>Vehicles/hr</t>
  </si>
  <si>
    <t>serious</t>
  </si>
  <si>
    <t>minor</t>
  </si>
  <si>
    <t>Period of crash analysis</t>
  </si>
  <si>
    <t>yyyy - yyyy</t>
  </si>
  <si>
    <t>non_injury</t>
  </si>
  <si>
    <t>ESTIMATED_CRASHES</t>
  </si>
  <si>
    <t>Fatal</t>
  </si>
  <si>
    <t>Serious</t>
  </si>
  <si>
    <t>Minor</t>
  </si>
  <si>
    <t>Non Injury</t>
  </si>
  <si>
    <t>Recorded crashes in period (row 4 crash analysis)</t>
  </si>
  <si>
    <t>Total estimated crashes per year - do minimum (row 11)</t>
  </si>
  <si>
    <t>Predicted crashes per year - preferred option (row 20)</t>
  </si>
  <si>
    <t>PREDICTED_CRASHES</t>
  </si>
  <si>
    <t>Heavy Vehicle Trips Saved (average per year)</t>
  </si>
  <si>
    <t>count</t>
  </si>
  <si>
    <t>Total DSI saved</t>
  </si>
  <si>
    <t>Vehicle Operating Cost Savings (per annum)</t>
  </si>
  <si>
    <t>$/vehicle</t>
  </si>
  <si>
    <t>VOC saving</t>
  </si>
  <si>
    <t>Travel time savings (per day)</t>
  </si>
  <si>
    <t>Total hours saved</t>
  </si>
  <si>
    <t>HEAVY_VEHICLE_TRIPS_SAVED</t>
  </si>
  <si>
    <t>VEHICLE_OPERATING_COST</t>
  </si>
  <si>
    <t>Costs</t>
  </si>
  <si>
    <t>Do minimum</t>
  </si>
  <si>
    <t>Preferred option</t>
  </si>
  <si>
    <t>TRAVEL_TIME_SAVINGS</t>
  </si>
  <si>
    <t>Construction / implementation</t>
  </si>
  <si>
    <t>$</t>
  </si>
  <si>
    <t>CONSTRUCTION_COST</t>
  </si>
  <si>
    <t>do_min</t>
  </si>
  <si>
    <t>option</t>
  </si>
  <si>
    <t>Present Value Construction / implementation</t>
  </si>
  <si>
    <t>PV_CONSTRUCTION</t>
  </si>
  <si>
    <t>Present Value Maintenance, renewal and operating costs</t>
  </si>
  <si>
    <t>Present Value Total costs (whole of life)</t>
  </si>
  <si>
    <t>PV_MAINTENANCE</t>
  </si>
  <si>
    <t>Present Value Cost savings</t>
  </si>
  <si>
    <t>PV_TOTAL_COST</t>
  </si>
  <si>
    <t>Present Value Funding assistance</t>
  </si>
  <si>
    <t>PV_COST_SAVINGS</t>
  </si>
  <si>
    <t>Benefits (Present Value)</t>
  </si>
  <si>
    <t>Present Value</t>
  </si>
  <si>
    <t>Total Value (undiscounted)</t>
  </si>
  <si>
    <t>PV_FUNDING_ASSIST</t>
  </si>
  <si>
    <t>Travel time cost savings</t>
  </si>
  <si>
    <t>TRAVEL_TIME_COST_SAVINGS</t>
  </si>
  <si>
    <t>present</t>
  </si>
  <si>
    <t>Vehicle operating cost savings</t>
  </si>
  <si>
    <t>VEHICLE_OP_COST_SAVINGS</t>
  </si>
  <si>
    <t>Crash cost savings</t>
  </si>
  <si>
    <t>CRASH_COST_SAVINGS</t>
  </si>
  <si>
    <t>Seal extension benefits</t>
  </si>
  <si>
    <t>SEAL_EXTENSION_BEFEFITS</t>
  </si>
  <si>
    <t>Driver frustration reduction benefits</t>
  </si>
  <si>
    <t>DRIVER_FRUST_REDUCT_BENEFITS</t>
  </si>
  <si>
    <t>Risk reduction benefits</t>
  </si>
  <si>
    <t>RISK_REDUCT_BENEFITS</t>
  </si>
  <si>
    <t>Vehicle emission reduction benefits</t>
  </si>
  <si>
    <t>VEHICLE_EMIS_REDUCT_BEFEFITS</t>
  </si>
  <si>
    <t>Other external benefits (noise, visual, impact etc)</t>
  </si>
  <si>
    <t>EXTERNAL_BENEFITS</t>
  </si>
  <si>
    <t>Mode change benefits</t>
  </si>
  <si>
    <t>MODE_CHANGE_BENEFITS</t>
  </si>
  <si>
    <t>Walking and cycling health + environment benefits</t>
  </si>
  <si>
    <t>WALKING_CYCLING_BENEFITS</t>
  </si>
  <si>
    <t>Service or facility user benefits</t>
  </si>
  <si>
    <t>SERVICE_FACILITY_BENEFITS</t>
  </si>
  <si>
    <t>Parking user cost savings</t>
  </si>
  <si>
    <t>PARKING_COST_SAVINGS</t>
  </si>
  <si>
    <t>Dis-benefits during implementation/construction</t>
  </si>
  <si>
    <t>DISBENEFITS</t>
  </si>
  <si>
    <t>Road Traffic reduction benefits</t>
  </si>
  <si>
    <t>TRAFFIC_REDUCTION_BENEFITS</t>
  </si>
  <si>
    <t>National strategic benefits</t>
  </si>
  <si>
    <t>NATIONAL_STRATEGIC_BENEFITS</t>
  </si>
  <si>
    <t>Agglomeration benefits (WEB)</t>
  </si>
  <si>
    <t>AGGLOMERATION_BENEFITS</t>
  </si>
  <si>
    <t>Increased Labour Supply (WEB)</t>
  </si>
  <si>
    <t>INCREASED_LABOUR_SUPPLY</t>
  </si>
  <si>
    <t>Imperfect Competition (WEB)</t>
  </si>
  <si>
    <t>IMPERFECT_COMPETITION</t>
  </si>
  <si>
    <t>Total Benefits</t>
  </si>
  <si>
    <t>TOTAL_BENEFITS</t>
  </si>
  <si>
    <t>BCR_NATIONAL</t>
  </si>
  <si>
    <t>Non monetised benefits or national strategic factors</t>
  </si>
  <si>
    <t>BCR_GOVERNMENT</t>
  </si>
  <si>
    <t>FIRST_YEAR_RATE_OF_RETURN</t>
  </si>
  <si>
    <t>Benefit Cost Ratio (BCRn) National</t>
  </si>
  <si>
    <t>BCR_RANGE</t>
  </si>
  <si>
    <t>low</t>
  </si>
  <si>
    <t>Benefit Cost Ratio (BCRg) Government</t>
  </si>
  <si>
    <t>high</t>
  </si>
  <si>
    <t>First Year Rate of Return (FYRR)</t>
  </si>
  <si>
    <t>HEAVY_VEHICLE_TRIPS_SAVED_PERIOD</t>
  </si>
  <si>
    <t>VEHICLE_OPERATING_COST_PERIOD</t>
  </si>
  <si>
    <t>Sensitivity Analysis  - BCR range</t>
  </si>
  <si>
    <t>TRAVEL_TIME_SAVINGS_PERIOD</t>
  </si>
  <si>
    <t>total</t>
  </si>
  <si>
    <t>Road category</t>
  </si>
  <si>
    <t>Motorway</t>
  </si>
  <si>
    <t>Urban arterial</t>
  </si>
  <si>
    <t>Urban other</t>
  </si>
  <si>
    <t>Rural strategic</t>
  </si>
  <si>
    <t>Rural other</t>
  </si>
  <si>
    <t>SP11 Walking and Cycling Facilities - Overview and Guidance</t>
  </si>
  <si>
    <t>General Information</t>
  </si>
  <si>
    <t>limitations of usage</t>
  </si>
  <si>
    <t xml:space="preserve">Designed for the appraisal of activities where the following assumptions apply: </t>
  </si>
  <si>
    <r>
      <t xml:space="preserve">- the facility is a walking or cycling facility, </t>
    </r>
    <r>
      <rPr>
        <b/>
        <sz val="10"/>
        <rFont val="Verdana"/>
        <family val="2"/>
      </rPr>
      <t>with an undiscounted whole-of-life cost ≤$15,000,000</t>
    </r>
    <r>
      <rPr>
        <sz val="10"/>
        <rFont val="Verdana"/>
        <family val="2"/>
      </rPr>
      <t>.</t>
    </r>
  </si>
  <si>
    <r>
      <t xml:space="preserve">- work categories </t>
    </r>
    <r>
      <rPr>
        <b/>
        <sz val="10"/>
        <rFont val="Verdana"/>
        <family val="2"/>
      </rPr>
      <t>451</t>
    </r>
    <r>
      <rPr>
        <sz val="10"/>
        <rFont val="Verdana"/>
        <family val="2"/>
      </rPr>
      <t xml:space="preserve"> or </t>
    </r>
    <r>
      <rPr>
        <b/>
        <sz val="10"/>
        <rFont val="Verdana"/>
        <family val="2"/>
      </rPr>
      <t>452</t>
    </r>
    <r>
      <rPr>
        <sz val="10"/>
        <rFont val="Verdana"/>
        <family val="2"/>
      </rPr>
      <t xml:space="preserve"> may apply here</t>
    </r>
  </si>
  <si>
    <t xml:space="preserve">- the procedures assume that the activity does not include signalised crossings over roads. </t>
  </si>
  <si>
    <r>
      <t xml:space="preserve">- the procedure assumes that funded projects </t>
    </r>
    <r>
      <rPr>
        <b/>
        <sz val="10"/>
        <rFont val="Verdana"/>
        <family val="2"/>
      </rPr>
      <t>will be completed in the first year</t>
    </r>
    <r>
      <rPr>
        <sz val="10"/>
        <rFont val="Verdana"/>
        <family val="2"/>
      </rPr>
      <t xml:space="preserve"> and will be in service by the start of the year 2.</t>
    </r>
  </si>
  <si>
    <t>Full procedures must be used if these criteria are not met.</t>
  </si>
  <si>
    <r>
      <rPr>
        <sz val="10"/>
        <color indexed="8"/>
        <rFont val="Arial"/>
        <family val="2"/>
      </rPr>
      <t xml:space="preserve">For more information please refer to section 4.1 of </t>
    </r>
    <r>
      <rPr>
        <u/>
        <sz val="10"/>
        <color indexed="12"/>
        <rFont val="Arial"/>
        <family val="2"/>
      </rPr>
      <t>Monetised Benefits and Costs Manual.</t>
    </r>
  </si>
  <si>
    <t>Northland</t>
  </si>
  <si>
    <t>Auckland</t>
  </si>
  <si>
    <t xml:space="preserve">  General cell guide </t>
  </si>
  <si>
    <t>Waikato</t>
  </si>
  <si>
    <r>
      <t>-</t>
    </r>
    <r>
      <rPr>
        <b/>
        <sz val="10"/>
        <rFont val="Verdana"/>
        <family val="2"/>
      </rPr>
      <t>pale yellow, non-bordered cells</t>
    </r>
    <r>
      <rPr>
        <sz val="10"/>
        <rFont val="Verdana"/>
        <family val="2"/>
      </rPr>
      <t xml:space="preserve"> are generally open for overlaying or inputting data or information as required</t>
    </r>
  </si>
  <si>
    <t>Gisborne</t>
  </si>
  <si>
    <r>
      <t>-</t>
    </r>
    <r>
      <rPr>
        <b/>
        <sz val="10"/>
        <rFont val="Verdana"/>
        <family val="2"/>
      </rPr>
      <t>white, non-bordered cells</t>
    </r>
    <r>
      <rPr>
        <sz val="10"/>
        <rFont val="Verdana"/>
        <family val="2"/>
      </rPr>
      <t xml:space="preserve"> are generally auto-populate cells and their data are calculated/transferred from other cells</t>
    </r>
  </si>
  <si>
    <t>Hawkes Bay</t>
  </si>
  <si>
    <r>
      <t>-</t>
    </r>
    <r>
      <rPr>
        <b/>
        <sz val="10"/>
        <rFont val="Verdana"/>
        <family val="2"/>
      </rPr>
      <t>green, black bordered cells</t>
    </r>
    <r>
      <rPr>
        <sz val="10"/>
        <rFont val="Verdana"/>
        <family val="2"/>
      </rPr>
      <t xml:space="preserve"> are providing further guidance or links for external resources.</t>
    </r>
  </si>
  <si>
    <t>Taranaki</t>
  </si>
  <si>
    <t>Manawatu-Wanganui</t>
  </si>
  <si>
    <t>Wellington</t>
  </si>
  <si>
    <t>Worksheet title (and link):</t>
  </si>
  <si>
    <t>Marlborough</t>
  </si>
  <si>
    <t xml:space="preserve">    a brief description</t>
  </si>
  <si>
    <t>Nelson</t>
  </si>
  <si>
    <t>Canterbury</t>
  </si>
  <si>
    <t xml:space="preserve">   - Provides a summary of the general data used for the evaluation as well as the results of the analysis.</t>
  </si>
  <si>
    <t>West Coast</t>
  </si>
  <si>
    <t xml:space="preserve"> </t>
  </si>
  <si>
    <t>Otago</t>
  </si>
  <si>
    <t xml:space="preserve">   - This worksheet is used to calculate the PV cost of the do minimum. The do minimum is the minimum level of expenditure necessary to maintain a minimum acceptable level of service and generally consists of maintenance work.</t>
  </si>
  <si>
    <t>Southland</t>
  </si>
  <si>
    <t xml:space="preserve">   - This worksheet is used to calculate the PV costs of the option 1. A separate worksheet is required for each option evaluated. Up to 3 options in addition to do-minimum can be evaluated.</t>
  </si>
  <si>
    <t xml:space="preserve">   - This worksheet is used to calculate the PV costs of the option 2. Not required if there is no option 2.</t>
  </si>
  <si>
    <t xml:space="preserve">   - This worksheet is used to calculate the PV costs of the option 3. Not required if there is no option 3.</t>
  </si>
  <si>
    <t xml:space="preserve">   - This worksheet is used for calculating travel time cost savings.</t>
  </si>
  <si>
    <t xml:space="preserve">   - This worksheet is used for calculating the health and environmental benefits of walking and cycling facilities.</t>
  </si>
  <si>
    <r>
      <t xml:space="preserve">   - This worksheet is used for calculating crash cost savings using </t>
    </r>
    <r>
      <rPr>
        <b/>
        <sz val="10"/>
        <rFont val="Verdana"/>
        <family val="2"/>
      </rPr>
      <t>crash-by-crash analysis</t>
    </r>
    <r>
      <rPr>
        <sz val="10"/>
        <rFont val="Verdana"/>
        <family val="2"/>
      </rPr>
      <t xml:space="preserve"> method (method A in appendix A6).</t>
    </r>
  </si>
  <si>
    <t xml:space="preserve">   - This worksheet is used for calculating cycle travel demand using the "buffers" methodology</t>
  </si>
  <si>
    <t xml:space="preserve">   - This worksheet is used for relative comparison of the options.</t>
  </si>
  <si>
    <t xml:space="preserve">Worksheet Completion Steps: </t>
  </si>
  <si>
    <t>Step 1: Complete SP11-1 Evaluation Summary Items 1-3</t>
  </si>
  <si>
    <t>Step 2: Complete SP11-2 Cost of Do Minimum</t>
  </si>
  <si>
    <t>Step 3: Complete SP11-3 (1) to SP11-3 (3) Cost of Option(s)</t>
  </si>
  <si>
    <t>Step 4 Complete SP 11-4 to SP 11-7 for each option</t>
  </si>
  <si>
    <t xml:space="preserve">Step 5: Select Preferred Option* and Finalise SP11-1 </t>
  </si>
  <si>
    <t>Step 6: Complete SP11-8 Incremental Analysis</t>
  </si>
  <si>
    <t xml:space="preserve">Spreadsheet problems? </t>
  </si>
  <si>
    <t>SP11 Walking and cycling facilities</t>
  </si>
  <si>
    <t>Email: MBCM@nzta.govt.nz</t>
  </si>
  <si>
    <t>Worksheet 1 - Evaluation summary</t>
  </si>
  <si>
    <r>
      <t>Worksheet 1 provides a summary of the general data used for the evaluation as well as the results of the analysis. The information required is a subset of the information required for assessment in terms of the NZTA’s</t>
    </r>
    <r>
      <rPr>
        <i/>
        <sz val="8"/>
        <rFont val="Verdana"/>
        <family val="2"/>
      </rPr>
      <t xml:space="preserve"> Planning and Investment Knowledge Base</t>
    </r>
    <r>
      <rPr>
        <sz val="8"/>
        <rFont val="Verdana"/>
        <family val="2"/>
      </rPr>
      <t>.</t>
    </r>
  </si>
  <si>
    <t>Evaluator(s)</t>
  </si>
  <si>
    <t>Reviewer(s)</t>
  </si>
  <si>
    <t>Activity details</t>
  </si>
  <si>
    <t>Approved organisation name</t>
  </si>
  <si>
    <t>Your reference</t>
  </si>
  <si>
    <t>Activity description</t>
  </si>
  <si>
    <t>Describe the issues to be addressed</t>
  </si>
  <si>
    <t>Brief description of location</t>
  </si>
  <si>
    <t>Alternatives and options</t>
  </si>
  <si>
    <t>Describe the do-minimum</t>
  </si>
  <si>
    <t>Summarise the options assessed</t>
  </si>
  <si>
    <t>Timing</t>
  </si>
  <si>
    <t>Time zero (assumed construction start date)</t>
  </si>
  <si>
    <t>1 July</t>
  </si>
  <si>
    <t>Expected duration of construction (months)</t>
  </si>
  <si>
    <t>Period of analysis (years)</t>
  </si>
  <si>
    <t>Economic efficiency</t>
  </si>
  <si>
    <t>Date economic evaluation completed (mm/yyyy)</t>
  </si>
  <si>
    <t>Base date for costs and benefits</t>
  </si>
  <si>
    <t>Land designation required</t>
  </si>
  <si>
    <t>Data (only fill the applicable data)</t>
  </si>
  <si>
    <t xml:space="preserve">Existing pedestrian/cycling volumes </t>
  </si>
  <si>
    <t>AADT in year</t>
  </si>
  <si>
    <t>Estimated new pedestrian/cyclist volume</t>
  </si>
  <si>
    <t>per day</t>
  </si>
  <si>
    <t>Estimated motor vehicle volumes</t>
  </si>
  <si>
    <t>Estimated motor vehicle speed</t>
  </si>
  <si>
    <t>Pedestrian/cyclist growth rate</t>
  </si>
  <si>
    <t>Width available for walking/cycling before</t>
  </si>
  <si>
    <t>m</t>
  </si>
  <si>
    <t>Width available for walking/cycling after</t>
  </si>
  <si>
    <t>Length walked/cycled after works</t>
  </si>
  <si>
    <t>Length walked/cycled before works</t>
  </si>
  <si>
    <r>
      <t>PV cost (</t>
    </r>
    <r>
      <rPr>
        <b/>
        <sz val="8"/>
        <rFont val="Verdana"/>
        <family val="2"/>
      </rPr>
      <t>A</t>
    </r>
    <r>
      <rPr>
        <sz val="8"/>
        <rFont val="Verdana"/>
        <family val="2"/>
      </rPr>
      <t xml:space="preserve"> / </t>
    </r>
    <r>
      <rPr>
        <b/>
        <sz val="8"/>
        <rFont val="Verdana"/>
        <family val="2"/>
      </rPr>
      <t>B</t>
    </r>
    <r>
      <rPr>
        <sz val="8"/>
        <rFont val="Verdana"/>
        <family val="2"/>
      </rPr>
      <t>)</t>
    </r>
  </si>
  <si>
    <t>Expected reduction in private vehicle travel</t>
  </si>
  <si>
    <t>km per year</t>
  </si>
  <si>
    <t>SP11-2 Do  min</t>
  </si>
  <si>
    <t>PV cost of do-minimum</t>
  </si>
  <si>
    <t>A</t>
  </si>
  <si>
    <t>SP11-3 (1)</t>
  </si>
  <si>
    <t>PV cost of the preferred option</t>
  </si>
  <si>
    <t>B</t>
  </si>
  <si>
    <t>SP11-3 (2)</t>
  </si>
  <si>
    <t>Benefit values from worksheet 4, 5, 6</t>
  </si>
  <si>
    <t>SP11-3 (3)</t>
  </si>
  <si>
    <t xml:space="preserve">PV travel time cost savings  </t>
  </si>
  <si>
    <r>
      <t>C</t>
    </r>
    <r>
      <rPr>
        <sz val="8"/>
        <rFont val="Verdana"/>
        <family val="2"/>
      </rPr>
      <t xml:space="preserve"> x Update factor </t>
    </r>
    <r>
      <rPr>
        <vertAlign val="superscript"/>
        <sz val="8"/>
        <rFont val="Verdana"/>
        <family val="2"/>
      </rPr>
      <t>TT</t>
    </r>
  </si>
  <si>
    <t>= $</t>
  </si>
  <si>
    <t>X</t>
  </si>
  <si>
    <t>PV health benefits</t>
  </si>
  <si>
    <r>
      <t>D</t>
    </r>
    <r>
      <rPr>
        <sz val="8"/>
        <rFont val="Verdana"/>
        <family val="2"/>
      </rPr>
      <t xml:space="preserve"> x Update factor </t>
    </r>
    <r>
      <rPr>
        <vertAlign val="superscript"/>
        <sz val="8"/>
        <rFont val="Verdana"/>
        <family val="2"/>
      </rPr>
      <t>WCB</t>
    </r>
  </si>
  <si>
    <t>Y</t>
  </si>
  <si>
    <t>PV crash cost savings</t>
  </si>
  <si>
    <r>
      <t>E</t>
    </r>
    <r>
      <rPr>
        <sz val="8"/>
        <rFont val="Verdana"/>
        <family val="2"/>
      </rPr>
      <t xml:space="preserve"> x Update factor </t>
    </r>
    <r>
      <rPr>
        <vertAlign val="superscript"/>
        <sz val="8"/>
        <rFont val="Verdana"/>
        <family val="2"/>
      </rPr>
      <t>ACC</t>
    </r>
  </si>
  <si>
    <t>Z</t>
  </si>
  <si>
    <t>PV impact on GHG emissions</t>
  </si>
  <si>
    <r>
      <t>F</t>
    </r>
    <r>
      <rPr>
        <sz val="8"/>
        <rFont val="Verdana"/>
        <family val="2"/>
      </rPr>
      <t xml:space="preserve"> </t>
    </r>
  </si>
  <si>
    <r>
      <t>BCR</t>
    </r>
    <r>
      <rPr>
        <vertAlign val="subscript"/>
        <sz val="8"/>
        <rFont val="Verdana"/>
        <family val="2"/>
      </rPr>
      <t>N</t>
    </r>
    <r>
      <rPr>
        <sz val="8"/>
        <rFont val="Verdana"/>
        <family val="2"/>
      </rPr>
      <t xml:space="preserve">   =</t>
    </r>
  </si>
  <si>
    <t>PV net benefits</t>
  </si>
  <si>
    <t>=</t>
  </si>
  <si>
    <t>X + Y + Z + F</t>
  </si>
  <si>
    <t xml:space="preserve">= </t>
  </si>
  <si>
    <t>3% DR</t>
  </si>
  <si>
    <t>Sensitivity</t>
  </si>
  <si>
    <t>6% DR</t>
  </si>
  <si>
    <t>PV economic costs</t>
  </si>
  <si>
    <t>B - A</t>
  </si>
  <si>
    <t>FYRR   =</t>
  </si>
  <si>
    <t>First year benefits</t>
  </si>
  <si>
    <t>First Year benefit</t>
  </si>
  <si>
    <t>Standard Discount rate (4%)</t>
  </si>
  <si>
    <t>8% Discount rate</t>
  </si>
  <si>
    <t>Accident cost savings</t>
  </si>
  <si>
    <t>Facility benefits</t>
  </si>
  <si>
    <t xml:space="preserve">Travel time cost saving updated </t>
  </si>
  <si>
    <t>GHG emissions</t>
  </si>
  <si>
    <t>PV</t>
  </si>
  <si>
    <t>Real</t>
  </si>
  <si>
    <t>DSI</t>
  </si>
  <si>
    <t>PV tot W&amp;C</t>
  </si>
  <si>
    <t>Real tot W&amp;C</t>
  </si>
  <si>
    <t>yes</t>
  </si>
  <si>
    <t>no</t>
  </si>
  <si>
    <t>hours</t>
  </si>
  <si>
    <t>Worksheet 2 - Cost of do-minimum</t>
  </si>
  <si>
    <t>Worksheet 2 is used for calculating the PV cost of the do-minimum. The do-minimum is the minimum level of expenditure necessary to keep a facility open and generally consists of maintenance work.</t>
  </si>
  <si>
    <t>Historic maintenance cost data (indicate whether assessed or actual)</t>
  </si>
  <si>
    <t>Maintenance costs for the site over last three years</t>
  </si>
  <si>
    <t>Year 1</t>
  </si>
  <si>
    <t>Should be obtained from maintenance records.</t>
  </si>
  <si>
    <t>Year 2</t>
  </si>
  <si>
    <t>Year 3</t>
  </si>
  <si>
    <t>Maintenance costs for the site this year</t>
  </si>
  <si>
    <t>Future annual maintenance costs</t>
  </si>
  <si>
    <t>PV of annual maintenance and inspection costs following the work</t>
  </si>
  <si>
    <t>4% discount rate</t>
  </si>
  <si>
    <t>8% discount rate</t>
  </si>
  <si>
    <t>Annual cost = $</t>
  </si>
  <si>
    <t>x</t>
  </si>
  <si>
    <t xml:space="preserve">  =      $</t>
  </si>
  <si>
    <t>(a)</t>
  </si>
  <si>
    <t>PV of periodic maintenance costs (including any capital work)</t>
  </si>
  <si>
    <t>Time zero</t>
  </si>
  <si>
    <t>1st July in the year</t>
  </si>
  <si>
    <t>Periodic maintenance will be required in the following years:</t>
  </si>
  <si>
    <t>Year</t>
  </si>
  <si>
    <t>Type of maintenance</t>
  </si>
  <si>
    <t>Amount $</t>
  </si>
  <si>
    <t>SPPWF</t>
  </si>
  <si>
    <t>Present value</t>
  </si>
  <si>
    <t>Sum of PV of periodic maintenance $</t>
  </si>
  <si>
    <t>(b)</t>
  </si>
  <si>
    <t>PV of annual operating costs</t>
  </si>
  <si>
    <t xml:space="preserve"> =      $</t>
  </si>
  <si>
    <t>(c)</t>
  </si>
  <si>
    <t>PV cost of the do-minimum</t>
  </si>
  <si>
    <r>
      <t xml:space="preserve">(a) </t>
    </r>
    <r>
      <rPr>
        <sz val="8"/>
        <rFont val="Verdana"/>
        <family val="2"/>
      </rPr>
      <t xml:space="preserve">+ </t>
    </r>
    <r>
      <rPr>
        <b/>
        <sz val="8"/>
        <rFont val="Verdana"/>
        <family val="2"/>
      </rPr>
      <t xml:space="preserve">(b) </t>
    </r>
    <r>
      <rPr>
        <sz val="8"/>
        <rFont val="Verdana"/>
        <family val="2"/>
      </rPr>
      <t xml:space="preserve">+ </t>
    </r>
    <r>
      <rPr>
        <b/>
        <sz val="8"/>
        <rFont val="Verdana"/>
        <family val="2"/>
      </rPr>
      <t xml:space="preserve">(C) </t>
    </r>
    <r>
      <rPr>
        <sz val="8"/>
        <rFont val="Verdana"/>
        <family val="2"/>
      </rPr>
      <t>=</t>
    </r>
    <r>
      <rPr>
        <b/>
        <sz val="8"/>
        <rFont val="Verdana"/>
        <family val="2"/>
      </rPr>
      <t xml:space="preserve"> </t>
    </r>
    <r>
      <rPr>
        <sz val="8"/>
        <rFont val="Verdana"/>
        <family val="2"/>
      </rPr>
      <t>$</t>
    </r>
  </si>
  <si>
    <r>
      <t xml:space="preserve">Transfer the PV cost of do minimum </t>
    </r>
    <r>
      <rPr>
        <b/>
        <sz val="8"/>
        <rFont val="Verdana"/>
        <family val="2"/>
      </rPr>
      <t>A</t>
    </r>
    <r>
      <rPr>
        <sz val="8"/>
        <rFont val="Verdana"/>
        <family val="2"/>
      </rPr>
      <t xml:space="preserve">, to </t>
    </r>
    <r>
      <rPr>
        <b/>
        <sz val="8"/>
        <rFont val="Verdana"/>
        <family val="2"/>
      </rPr>
      <t>A</t>
    </r>
    <r>
      <rPr>
        <sz val="8"/>
        <rFont val="Verdana"/>
        <family val="2"/>
      </rPr>
      <t xml:space="preserve"> on worksheet 1.</t>
    </r>
  </si>
  <si>
    <t>Assessed</t>
  </si>
  <si>
    <t>Actual</t>
  </si>
  <si>
    <t>Worksheet 3 - Cost of the option(s)</t>
  </si>
  <si>
    <t>Worksheet 3 is used for calculating the PV cost of the walking or cycling facility.</t>
  </si>
  <si>
    <t>Sensitivity test for discount rate</t>
  </si>
  <si>
    <t>PV of estimated cost of proposed work (as per attached estimate sheet)</t>
  </si>
  <si>
    <t xml:space="preserve"> =   $</t>
  </si>
  <si>
    <t>PV of maintenance in year 1</t>
  </si>
  <si>
    <t>PV of annual maintenance costs following the work</t>
  </si>
  <si>
    <t>(years 2 to</t>
  </si>
  <si>
    <t xml:space="preserve"> inclusive) $</t>
  </si>
  <si>
    <t>PV of periodic maintenance costs</t>
  </si>
  <si>
    <t>Sum of PV of periodic maintenance costs = $</t>
  </si>
  <si>
    <t>(d)</t>
  </si>
  <si>
    <t>PV cost of additional annual maintenance</t>
  </si>
  <si>
    <t>(e)</t>
  </si>
  <si>
    <t>PV of total cost of option</t>
  </si>
  <si>
    <r>
      <t xml:space="preserve">PV total costs </t>
    </r>
    <r>
      <rPr>
        <b/>
        <sz val="8"/>
        <rFont val="Verdana"/>
        <family val="2"/>
      </rPr>
      <t>(a)</t>
    </r>
    <r>
      <rPr>
        <sz val="8"/>
        <rFont val="Verdana"/>
        <family val="2"/>
      </rPr>
      <t xml:space="preserve"> +</t>
    </r>
    <r>
      <rPr>
        <b/>
        <sz val="8"/>
        <rFont val="Verdana"/>
        <family val="2"/>
      </rPr>
      <t xml:space="preserve"> (b) </t>
    </r>
    <r>
      <rPr>
        <sz val="8"/>
        <rFont val="Verdana"/>
        <family val="2"/>
      </rPr>
      <t>+</t>
    </r>
    <r>
      <rPr>
        <b/>
        <sz val="8"/>
        <rFont val="Verdana"/>
        <family val="2"/>
      </rPr>
      <t xml:space="preserve"> (c) </t>
    </r>
    <r>
      <rPr>
        <sz val="8"/>
        <rFont val="Verdana"/>
        <family val="2"/>
      </rPr>
      <t>+</t>
    </r>
    <r>
      <rPr>
        <b/>
        <sz val="8"/>
        <rFont val="Verdana"/>
        <family val="2"/>
      </rPr>
      <t xml:space="preserve"> (d) </t>
    </r>
    <r>
      <rPr>
        <sz val="8"/>
        <rFont val="Verdana"/>
        <family val="2"/>
      </rPr>
      <t>+</t>
    </r>
    <r>
      <rPr>
        <b/>
        <sz val="8"/>
        <rFont val="Verdana"/>
        <family val="2"/>
      </rPr>
      <t xml:space="preserve"> (e) </t>
    </r>
    <r>
      <rPr>
        <sz val="8"/>
        <rFont val="Verdana"/>
        <family val="2"/>
      </rPr>
      <t>= $</t>
    </r>
  </si>
  <si>
    <r>
      <t xml:space="preserve">Transfer the PV total costs for the preferred option </t>
    </r>
    <r>
      <rPr>
        <b/>
        <sz val="8"/>
        <rFont val="Verdana"/>
        <family val="2"/>
      </rPr>
      <t>B</t>
    </r>
    <r>
      <rPr>
        <sz val="8"/>
        <rFont val="Verdana"/>
        <family val="2"/>
      </rPr>
      <t xml:space="preserve">, to </t>
    </r>
    <r>
      <rPr>
        <b/>
        <sz val="8"/>
        <rFont val="Verdana"/>
        <family val="2"/>
      </rPr>
      <t>B</t>
    </r>
    <r>
      <rPr>
        <sz val="8"/>
        <rFont val="Verdana"/>
        <family val="2"/>
      </rPr>
      <t xml:space="preserve"> on worksheet 1.</t>
    </r>
  </si>
  <si>
    <r>
      <t xml:space="preserve">Transfer the PV total cost for the preferred option </t>
    </r>
    <r>
      <rPr>
        <b/>
        <sz val="8"/>
        <rFont val="Verdana"/>
        <family val="2"/>
      </rPr>
      <t>B</t>
    </r>
    <r>
      <rPr>
        <sz val="8"/>
        <rFont val="Verdana"/>
        <family val="2"/>
      </rPr>
      <t xml:space="preserve">, to </t>
    </r>
    <r>
      <rPr>
        <b/>
        <sz val="8"/>
        <rFont val="Verdana"/>
        <family val="2"/>
      </rPr>
      <t>B</t>
    </r>
    <r>
      <rPr>
        <sz val="8"/>
        <rFont val="Verdana"/>
        <family val="2"/>
      </rPr>
      <t xml:space="preserve"> on worksheet 1</t>
    </r>
  </si>
  <si>
    <t>inclusive) $</t>
  </si>
  <si>
    <t>Worksheet 4 - Travel time cost savings</t>
  </si>
  <si>
    <t>Worksheet 4 is used for calculating pedestrian and cyclist travel time cost savings.</t>
  </si>
  <si>
    <t>Facility Type</t>
  </si>
  <si>
    <t>Travel time data</t>
  </si>
  <si>
    <t>Walkers and/or cyclists average annual daily traffic current (AADT) (or volumes affected by the improvement)</t>
  </si>
  <si>
    <t>Walking or Cycling growth rate (per annum)</t>
  </si>
  <si>
    <t>Travel time cost (TTC)</t>
  </si>
  <si>
    <t>Table 14</t>
  </si>
  <si>
    <t>2021NZD</t>
  </si>
  <si>
    <r>
      <t>MBCM</t>
    </r>
    <r>
      <rPr>
        <sz val="8"/>
        <rFont val="Verdana"/>
        <family val="2"/>
      </rPr>
      <t xml:space="preserve"> - Table 14</t>
    </r>
  </si>
  <si>
    <t>Do-minimum</t>
  </si>
  <si>
    <t>Option</t>
  </si>
  <si>
    <r>
      <t>L</t>
    </r>
    <r>
      <rPr>
        <vertAlign val="superscript"/>
        <sz val="8"/>
        <rFont val="Verdana"/>
        <family val="2"/>
      </rPr>
      <t>dm</t>
    </r>
  </si>
  <si>
    <r>
      <t>L</t>
    </r>
    <r>
      <rPr>
        <vertAlign val="superscript"/>
        <sz val="8"/>
        <rFont val="Verdana"/>
        <family val="2"/>
      </rPr>
      <t>opt</t>
    </r>
  </si>
  <si>
    <r>
      <t xml:space="preserve">As per the inputs in the </t>
    </r>
    <r>
      <rPr>
        <b/>
        <sz val="8"/>
        <rFont val="Verdana"/>
        <family val="2"/>
      </rPr>
      <t>section 7</t>
    </r>
    <r>
      <rPr>
        <sz val="8"/>
        <rFont val="Verdana"/>
        <family val="2"/>
      </rPr>
      <t xml:space="preserve"> of the worksheet 1.</t>
    </r>
  </si>
  <si>
    <t>Mean cycling/walking speed</t>
  </si>
  <si>
    <r>
      <t>VS</t>
    </r>
    <r>
      <rPr>
        <vertAlign val="superscript"/>
        <sz val="8"/>
        <rFont val="Verdana"/>
        <family val="2"/>
      </rPr>
      <t>dm</t>
    </r>
  </si>
  <si>
    <r>
      <t>VS</t>
    </r>
    <r>
      <rPr>
        <vertAlign val="superscript"/>
        <sz val="8"/>
        <rFont val="Verdana"/>
        <family val="2"/>
      </rPr>
      <t>opt</t>
    </r>
  </si>
  <si>
    <t>Mean mode speed of pedestrians/cyclists in km/h</t>
  </si>
  <si>
    <t>Relative attractiveness (Table 35)</t>
  </si>
  <si>
    <r>
      <t>MBCM</t>
    </r>
    <r>
      <rPr>
        <sz val="8"/>
        <rFont val="Verdana"/>
        <family val="2"/>
      </rPr>
      <t xml:space="preserve"> - Table 35
note: If it is a cycle facility being evaluated, the relative attractiveness (RA) of the option facility compared to the do-minimum must be adjusted for. For example, if the facility moves cyclists from in traffic with road side parking with no cycle lane, to in traffic with road side parking but with a marked cycle lane, enter the relative attractiveness value of 1.8 into the assigned cell. If the RA for cyclists is greater than one, travel time cost savings for pedestrians must be calculated separately from cyclists with an RA of one used.</t>
    </r>
  </si>
  <si>
    <t>Annual TTC for the do-minimum</t>
  </si>
  <si>
    <r>
      <t>AADT x 365 x L</t>
    </r>
    <r>
      <rPr>
        <vertAlign val="superscript"/>
        <sz val="8"/>
        <rFont val="Verdana"/>
        <family val="2"/>
      </rPr>
      <t>dm</t>
    </r>
    <r>
      <rPr>
        <sz val="8"/>
        <rFont val="Verdana"/>
        <family val="2"/>
      </rPr>
      <t xml:space="preserve"> x TTC</t>
    </r>
  </si>
  <si>
    <r>
      <t>VS</t>
    </r>
    <r>
      <rPr>
        <vertAlign val="superscript"/>
        <sz val="8"/>
        <rFont val="Verdana"/>
        <family val="2"/>
      </rPr>
      <t xml:space="preserve">dm </t>
    </r>
    <r>
      <rPr>
        <sz val="8"/>
        <rFont val="Verdana"/>
        <family val="2"/>
      </rPr>
      <t>x RA</t>
    </r>
    <r>
      <rPr>
        <vertAlign val="superscript"/>
        <sz val="8"/>
        <rFont val="Verdana"/>
        <family val="2"/>
      </rPr>
      <t>dm</t>
    </r>
  </si>
  <si>
    <t>Annual TTC for the option</t>
  </si>
  <si>
    <r>
      <t>AADT x 365 x L</t>
    </r>
    <r>
      <rPr>
        <vertAlign val="superscript"/>
        <sz val="8"/>
        <rFont val="Verdana"/>
        <family val="2"/>
      </rPr>
      <t>opt</t>
    </r>
    <r>
      <rPr>
        <sz val="8"/>
        <rFont val="Verdana"/>
        <family val="2"/>
      </rPr>
      <t xml:space="preserve"> x TTC</t>
    </r>
  </si>
  <si>
    <r>
      <t>VS</t>
    </r>
    <r>
      <rPr>
        <vertAlign val="superscript"/>
        <sz val="8"/>
        <rFont val="Verdana"/>
        <family val="2"/>
      </rPr>
      <t>opt</t>
    </r>
    <r>
      <rPr>
        <sz val="8"/>
        <rFont val="Verdana"/>
        <family val="2"/>
      </rPr>
      <t xml:space="preserve"> x RA</t>
    </r>
    <r>
      <rPr>
        <vertAlign val="superscript"/>
        <sz val="8"/>
        <rFont val="Verdana"/>
        <family val="2"/>
      </rPr>
      <t>opt</t>
    </r>
  </si>
  <si>
    <t>Value of annual TTC savings</t>
  </si>
  <si>
    <r>
      <t>(a) - (b)</t>
    </r>
    <r>
      <rPr>
        <sz val="8"/>
        <rFont val="Verdana"/>
        <family val="2"/>
      </rPr>
      <t xml:space="preserve"> = $</t>
    </r>
  </si>
  <si>
    <t>PV of travel time cost savings</t>
  </si>
  <si>
    <t>DF</t>
  </si>
  <si>
    <r>
      <t>(c)</t>
    </r>
    <r>
      <rPr>
        <sz val="8"/>
        <rFont val="Verdana"/>
        <family val="2"/>
      </rPr>
      <t xml:space="preserve"> x DF</t>
    </r>
    <r>
      <rPr>
        <sz val="8"/>
        <rFont val="Verdana"/>
        <family val="2"/>
      </rPr>
      <t xml:space="preserve"> = $</t>
    </r>
  </si>
  <si>
    <t>C</t>
  </si>
  <si>
    <r>
      <t xml:space="preserve">Transfer the PV of travel time cost savings for the preferred option </t>
    </r>
    <r>
      <rPr>
        <b/>
        <sz val="8"/>
        <rFont val="Verdana"/>
        <family val="2"/>
      </rPr>
      <t>C</t>
    </r>
    <r>
      <rPr>
        <sz val="8"/>
        <rFont val="Verdana"/>
        <family val="2"/>
      </rPr>
      <t xml:space="preserve">, to </t>
    </r>
    <r>
      <rPr>
        <b/>
        <sz val="8"/>
        <rFont val="Verdana"/>
        <family val="2"/>
      </rPr>
      <t>C</t>
    </r>
    <r>
      <rPr>
        <sz val="8"/>
        <rFont val="Verdana"/>
        <family val="2"/>
      </rPr>
      <t xml:space="preserve"> on worksheet 1</t>
    </r>
  </si>
  <si>
    <t>cost</t>
  </si>
  <si>
    <t>Total</t>
  </si>
  <si>
    <t>Worksheet 5 - Benefits for walking and cycling facilities</t>
  </si>
  <si>
    <t>Health benefits for walking facility</t>
  </si>
  <si>
    <t>Pedestrian growth rate (per annum)</t>
  </si>
  <si>
    <t>Health and environment benefits for footpaths and other pedestrian facilities</t>
  </si>
  <si>
    <t>L</t>
  </si>
  <si>
    <t xml:space="preserve"> = $</t>
  </si>
  <si>
    <t>Health benefits from improvements at hazardous sites
(provision of overbridges, underpasses, bridge widening or intersection improvements for pedestrians)</t>
  </si>
  <si>
    <t>NPD</t>
  </si>
  <si>
    <t>Health benefits for cycling facility</t>
  </si>
  <si>
    <t>Cyclist growth rate (per annum)</t>
  </si>
  <si>
    <t>Health and environment benefits for cycle lanes, cycleways or increased road shoulder widths</t>
  </si>
  <si>
    <t>Health from improvements at hazardous sites
(provision of overbridges, underpasses, bridge widening or intersection improvements for cyclists)</t>
  </si>
  <si>
    <t>NTD</t>
  </si>
  <si>
    <t>Safety benefits for cycling facility</t>
  </si>
  <si>
    <t>Safety benefit for cycle lanes, cycleways or increased road shoulder widths in the absence of a specific crash analysis</t>
  </si>
  <si>
    <t xml:space="preserve">Benefit = number of new and existing cycle trips/day x length of new facility in km x 365 x $0.05 x discount factor </t>
  </si>
  <si>
    <t>x NSD</t>
  </si>
  <si>
    <t>x 365 x $0.05 x DF</t>
  </si>
  <si>
    <t>Safety benefit from improvements at hazardous sites in the absence of a specific crash analysis (provision of overbridges, underpasses, bridge widening or intersection improvements for cyclists)</t>
  </si>
  <si>
    <t xml:space="preserve">Benefit = number of new and existing cycle trips/day x 365 x $0.15 x discount factor </t>
  </si>
  <si>
    <t>NSD</t>
  </si>
  <si>
    <t>x 365 x $0.15 x DF</t>
  </si>
  <si>
    <t>(f)</t>
  </si>
  <si>
    <t>GHG emissions reduction benefit from reduced VKT.</t>
  </si>
  <si>
    <t>VKT</t>
  </si>
  <si>
    <t>F</t>
  </si>
  <si>
    <t xml:space="preserve">Discount rate </t>
  </si>
  <si>
    <t>Base year</t>
  </si>
  <si>
    <t>Cycle growth rate</t>
  </si>
  <si>
    <t>DF Cyclist</t>
  </si>
  <si>
    <t>DF Pedestrian</t>
  </si>
  <si>
    <t>Worksheet 6 - Crash cost savings</t>
  </si>
  <si>
    <r>
      <t xml:space="preserve">These simplified procedures are </t>
    </r>
    <r>
      <rPr>
        <b/>
        <sz val="8"/>
        <rFont val="Verdana"/>
        <family val="2"/>
      </rPr>
      <t>suitable only</t>
    </r>
    <r>
      <rPr>
        <sz val="8"/>
        <rFont val="Verdana"/>
        <family val="2"/>
      </rPr>
      <t xml:space="preserve"> for </t>
    </r>
    <r>
      <rPr>
        <b/>
        <sz val="8"/>
        <rFont val="Verdana"/>
        <family val="2"/>
      </rPr>
      <t xml:space="preserve">crash–by–crash analysis </t>
    </r>
    <r>
      <rPr>
        <sz val="8"/>
        <rFont val="Verdana"/>
        <family val="2"/>
      </rPr>
      <t>(method A in Appendix 2). There must be 5 years or more crash data for the site and the number and types of crashes must meet the specifications set out in Figure A1. If not, either the crash rate analysis (method B) or weighted crash procedure (method C) described in Appendix 2 should be used. The annual crash cost savings determined from such an evaluation are multiplied by the appropriate discount factor and entered in worksheet 1 as total E. Evidence to support alternative analysis must be attached.</t>
    </r>
  </si>
  <si>
    <t>Movement category</t>
  </si>
  <si>
    <t>Lost control off road</t>
  </si>
  <si>
    <t>Vehicle involvement</t>
  </si>
  <si>
    <t>All vehicles</t>
  </si>
  <si>
    <t>Do-minimum mean speed</t>
  </si>
  <si>
    <t>Posted speed limit</t>
  </si>
  <si>
    <t>Cycle/pedestrian growth rate</t>
  </si>
  <si>
    <t>Option mean speed</t>
  </si>
  <si>
    <t>Factors for converting from reported injury crashes to total injury crashes</t>
  </si>
  <si>
    <t>Severity</t>
  </si>
  <si>
    <t>Non- injury</t>
  </si>
  <si>
    <t>Table A26</t>
  </si>
  <si>
    <t>Number of years of typical crash rate records</t>
  </si>
  <si>
    <t>Number of reported crashes over period</t>
  </si>
  <si>
    <t>50, 60 and 70 km/h speed limit</t>
  </si>
  <si>
    <t>Pedestrian</t>
  </si>
  <si>
    <t>Fatal/serious severity ratio (Tables A23, A24 and A25)</t>
  </si>
  <si>
    <t>Other</t>
  </si>
  <si>
    <r>
      <t xml:space="preserve">Number of reported crashes adjusted by severity </t>
    </r>
    <r>
      <rPr>
        <b/>
        <sz val="8"/>
        <rFont val="Verdana"/>
        <family val="2"/>
      </rPr>
      <t>(4)</t>
    </r>
    <r>
      <rPr>
        <sz val="8"/>
        <rFont val="Verdana"/>
        <family val="2"/>
      </rPr>
      <t xml:space="preserve"> x </t>
    </r>
    <r>
      <rPr>
        <b/>
        <sz val="8"/>
        <rFont val="Verdana"/>
        <family val="2"/>
      </rPr>
      <t>(5)</t>
    </r>
  </si>
  <si>
    <t>80 and 100 km/h speed limit   (excluding motorways)</t>
  </si>
  <si>
    <r>
      <t xml:space="preserve">Crashes per year = </t>
    </r>
    <r>
      <rPr>
        <b/>
        <sz val="8"/>
        <rFont val="Verdana"/>
        <family val="2"/>
      </rPr>
      <t>(6)</t>
    </r>
    <r>
      <rPr>
        <sz val="8"/>
        <rFont val="Verdana"/>
        <family val="2"/>
      </rPr>
      <t>/</t>
    </r>
    <r>
      <rPr>
        <b/>
        <sz val="8"/>
        <rFont val="Verdana"/>
        <family val="2"/>
      </rPr>
      <t>(3)</t>
    </r>
  </si>
  <si>
    <t>Adjustment factor for crash trend (Table A21)</t>
  </si>
  <si>
    <t>100 km/h speed limit  remote rural area</t>
  </si>
  <si>
    <r>
      <t>Adjusted crashes per year =</t>
    </r>
    <r>
      <rPr>
        <b/>
        <sz val="8"/>
        <rFont val="Verdana"/>
        <family val="2"/>
      </rPr>
      <t xml:space="preserve"> (7)</t>
    </r>
    <r>
      <rPr>
        <sz val="8"/>
        <rFont val="Verdana"/>
        <family val="2"/>
      </rPr>
      <t xml:space="preserve"> x </t>
    </r>
    <r>
      <rPr>
        <b/>
        <sz val="8"/>
        <rFont val="Verdana"/>
        <family val="2"/>
      </rPr>
      <t>(8)</t>
    </r>
  </si>
  <si>
    <t xml:space="preserve">Under-reporting factors </t>
  </si>
  <si>
    <t>All</t>
  </si>
  <si>
    <r>
      <t>Total estimated  crashes per year =</t>
    </r>
    <r>
      <rPr>
        <b/>
        <sz val="8"/>
        <rFont val="Verdana"/>
        <family val="2"/>
      </rPr>
      <t xml:space="preserve"> (9)</t>
    </r>
    <r>
      <rPr>
        <sz val="8"/>
        <rFont val="Verdana"/>
        <family val="2"/>
      </rPr>
      <t xml:space="preserve"> x</t>
    </r>
    <r>
      <rPr>
        <b/>
        <sz val="8"/>
        <rFont val="Verdana"/>
        <family val="2"/>
      </rPr>
      <t xml:space="preserve"> (10)</t>
    </r>
  </si>
  <si>
    <t>Crash cost, 100km/h limit (Tables A32 to A35)</t>
  </si>
  <si>
    <t>Factor for converting from reported non-injury crashes to total non-injury crashes</t>
  </si>
  <si>
    <t>Crash cost, 50km/h limit (Tables A28 to A31)</t>
  </si>
  <si>
    <r>
      <t>Mean speed adjustment = (</t>
    </r>
    <r>
      <rPr>
        <b/>
        <sz val="8"/>
        <rFont val="Verdana"/>
        <family val="2"/>
      </rPr>
      <t xml:space="preserve">(1) </t>
    </r>
    <r>
      <rPr>
        <sz val="8"/>
        <rFont val="Verdana"/>
        <family val="2"/>
      </rPr>
      <t xml:space="preserve"> - 50)/50</t>
    </r>
  </si>
  <si>
    <r>
      <t xml:space="preserve">Cost per crash = </t>
    </r>
    <r>
      <rPr>
        <b/>
        <sz val="8"/>
        <rFont val="Verdana"/>
        <family val="2"/>
      </rPr>
      <t>(13)</t>
    </r>
    <r>
      <rPr>
        <sz val="8"/>
        <rFont val="Verdana"/>
        <family val="2"/>
      </rPr>
      <t xml:space="preserve"> + </t>
    </r>
    <r>
      <rPr>
        <b/>
        <sz val="8"/>
        <rFont val="Verdana"/>
        <family val="2"/>
      </rPr>
      <t>(14)</t>
    </r>
    <r>
      <rPr>
        <sz val="8"/>
        <rFont val="Verdana"/>
        <family val="2"/>
      </rPr>
      <t xml:space="preserve"> x [</t>
    </r>
    <r>
      <rPr>
        <b/>
        <sz val="8"/>
        <rFont val="Verdana"/>
        <family val="2"/>
      </rPr>
      <t>(12)</t>
    </r>
    <r>
      <rPr>
        <sz val="8"/>
        <rFont val="Verdana"/>
        <family val="2"/>
      </rPr>
      <t xml:space="preserve"> - </t>
    </r>
    <r>
      <rPr>
        <b/>
        <sz val="8"/>
        <rFont val="Verdana"/>
        <family val="2"/>
      </rPr>
      <t>(13)</t>
    </r>
    <r>
      <rPr>
        <sz val="8"/>
        <rFont val="Verdana"/>
        <family val="2"/>
      </rPr>
      <t>]</t>
    </r>
  </si>
  <si>
    <t>Table A27</t>
  </si>
  <si>
    <r>
      <t xml:space="preserve">Crash cost per year = </t>
    </r>
    <r>
      <rPr>
        <b/>
        <sz val="8"/>
        <rFont val="Verdana"/>
        <family val="2"/>
      </rPr>
      <t>(11)</t>
    </r>
    <r>
      <rPr>
        <sz val="8"/>
        <rFont val="Verdana"/>
        <family val="2"/>
      </rPr>
      <t xml:space="preserve"> x </t>
    </r>
    <r>
      <rPr>
        <b/>
        <sz val="8"/>
        <rFont val="Verdana"/>
        <family val="2"/>
      </rPr>
      <t>(15)</t>
    </r>
  </si>
  <si>
    <t>Speed limit area</t>
  </si>
  <si>
    <t>50,60 or 70 km/h</t>
  </si>
  <si>
    <t xml:space="preserve">80 or 100 km/h </t>
  </si>
  <si>
    <r>
      <t xml:space="preserve">Total cost of crashes per year (sum of columns in row </t>
    </r>
    <r>
      <rPr>
        <b/>
        <sz val="8"/>
        <rFont val="Verdana"/>
        <family val="2"/>
      </rPr>
      <t>(16)</t>
    </r>
    <r>
      <rPr>
        <sz val="8"/>
        <rFont val="Verdana"/>
        <family val="2"/>
      </rPr>
      <t xml:space="preserve"> fatal + serious + minor + non-injury)</t>
    </r>
  </si>
  <si>
    <t>All movements</t>
  </si>
  <si>
    <t>Percentage crash reduction</t>
  </si>
  <si>
    <t>Crash Estimation Compendium (Crash Estimation Compendium)</t>
  </si>
  <si>
    <r>
      <t xml:space="preserve">Percentage of crashes 'remaining' [100 - </t>
    </r>
    <r>
      <rPr>
        <b/>
        <sz val="8"/>
        <rFont val="Verdana"/>
        <family val="2"/>
      </rPr>
      <t>(18)</t>
    </r>
    <r>
      <rPr>
        <sz val="8"/>
        <rFont val="Verdana"/>
        <family val="2"/>
      </rPr>
      <t>]</t>
    </r>
  </si>
  <si>
    <r>
      <t xml:space="preserve">Predicted crashes per year </t>
    </r>
    <r>
      <rPr>
        <b/>
        <sz val="8"/>
        <rFont val="Verdana"/>
        <family val="2"/>
      </rPr>
      <t>(11)</t>
    </r>
    <r>
      <rPr>
        <sz val="8"/>
        <rFont val="Verdana"/>
        <family val="2"/>
      </rPr>
      <t xml:space="preserve"> x </t>
    </r>
    <r>
      <rPr>
        <b/>
        <sz val="8"/>
        <rFont val="Verdana"/>
        <family val="2"/>
      </rPr>
      <t>(19)</t>
    </r>
  </si>
  <si>
    <r>
      <t>Mean speed adjustment = (</t>
    </r>
    <r>
      <rPr>
        <b/>
        <sz val="8"/>
        <rFont val="Verdana"/>
        <family val="2"/>
      </rPr>
      <t>(2)</t>
    </r>
    <r>
      <rPr>
        <sz val="8"/>
        <rFont val="Verdana"/>
        <family val="2"/>
      </rPr>
      <t xml:space="preserve"> - 50)/50</t>
    </r>
  </si>
  <si>
    <r>
      <t xml:space="preserve">Cost per crash = </t>
    </r>
    <r>
      <rPr>
        <b/>
        <sz val="8"/>
        <rFont val="Verdana"/>
        <family val="2"/>
      </rPr>
      <t xml:space="preserve">(22) </t>
    </r>
    <r>
      <rPr>
        <sz val="8"/>
        <rFont val="Verdana"/>
        <family val="2"/>
      </rPr>
      <t>+</t>
    </r>
    <r>
      <rPr>
        <b/>
        <sz val="8"/>
        <rFont val="Verdana"/>
        <family val="2"/>
      </rPr>
      <t xml:space="preserve"> (23) </t>
    </r>
    <r>
      <rPr>
        <sz val="8"/>
        <rFont val="Verdana"/>
        <family val="2"/>
      </rPr>
      <t>x</t>
    </r>
    <r>
      <rPr>
        <b/>
        <sz val="8"/>
        <rFont val="Verdana"/>
        <family val="2"/>
      </rPr>
      <t xml:space="preserve"> </t>
    </r>
    <r>
      <rPr>
        <sz val="8"/>
        <rFont val="Verdana"/>
        <family val="2"/>
      </rPr>
      <t>[</t>
    </r>
    <r>
      <rPr>
        <b/>
        <sz val="8"/>
        <rFont val="Verdana"/>
        <family val="2"/>
      </rPr>
      <t xml:space="preserve">(21) </t>
    </r>
    <r>
      <rPr>
        <sz val="8"/>
        <rFont val="Verdana"/>
        <family val="2"/>
      </rPr>
      <t>-</t>
    </r>
    <r>
      <rPr>
        <b/>
        <sz val="8"/>
        <rFont val="Verdana"/>
        <family val="2"/>
      </rPr>
      <t xml:space="preserve"> (22)</t>
    </r>
    <r>
      <rPr>
        <sz val="8"/>
        <rFont val="Verdana"/>
        <family val="2"/>
      </rPr>
      <t>]</t>
    </r>
  </si>
  <si>
    <r>
      <t xml:space="preserve">Crash cost per year = </t>
    </r>
    <r>
      <rPr>
        <b/>
        <sz val="8"/>
        <rFont val="Verdana"/>
        <family val="2"/>
      </rPr>
      <t xml:space="preserve">(20) </t>
    </r>
    <r>
      <rPr>
        <sz val="8"/>
        <rFont val="Verdana"/>
        <family val="2"/>
      </rPr>
      <t xml:space="preserve">x </t>
    </r>
    <r>
      <rPr>
        <b/>
        <sz val="8"/>
        <rFont val="Verdana"/>
        <family val="2"/>
      </rPr>
      <t>(24)</t>
    </r>
  </si>
  <si>
    <r>
      <t xml:space="preserve">Total cost of crashes per year (sum of columns in row </t>
    </r>
    <r>
      <rPr>
        <b/>
        <sz val="8"/>
        <rFont val="Verdana"/>
        <family val="2"/>
      </rPr>
      <t>(25)</t>
    </r>
    <r>
      <rPr>
        <sz val="8"/>
        <rFont val="Verdana"/>
        <family val="2"/>
      </rPr>
      <t xml:space="preserve"> fatal + serious + minor + non-injury</t>
    </r>
  </si>
  <si>
    <r>
      <t xml:space="preserve">Annual crash cost savings = </t>
    </r>
    <r>
      <rPr>
        <b/>
        <sz val="8"/>
        <rFont val="Verdana"/>
        <family val="2"/>
      </rPr>
      <t xml:space="preserve">(17) </t>
    </r>
    <r>
      <rPr>
        <sz val="8"/>
        <rFont val="Verdana"/>
        <family val="2"/>
      </rPr>
      <t>-</t>
    </r>
    <r>
      <rPr>
        <b/>
        <sz val="8"/>
        <rFont val="Verdana"/>
        <family val="2"/>
      </rPr>
      <t xml:space="preserve"> (26) </t>
    </r>
  </si>
  <si>
    <r>
      <t xml:space="preserve">PV crash cost savings = </t>
    </r>
    <r>
      <rPr>
        <b/>
        <sz val="8"/>
        <rFont val="Verdana"/>
        <family val="2"/>
      </rPr>
      <t xml:space="preserve">(27) </t>
    </r>
    <r>
      <rPr>
        <sz val="8"/>
        <rFont val="Verdana"/>
        <family val="2"/>
      </rPr>
      <t>x DF</t>
    </r>
  </si>
  <si>
    <t>E</t>
  </si>
  <si>
    <r>
      <t xml:space="preserve">Transfer PV of crash cost savings, </t>
    </r>
    <r>
      <rPr>
        <b/>
        <sz val="8"/>
        <rFont val="Verdana"/>
        <family val="2"/>
      </rPr>
      <t>E</t>
    </r>
    <r>
      <rPr>
        <sz val="8"/>
        <rFont val="Verdana"/>
        <family val="2"/>
      </rPr>
      <t xml:space="preserve"> for the preferred option to </t>
    </r>
    <r>
      <rPr>
        <b/>
        <sz val="8"/>
        <rFont val="Verdana"/>
        <family val="2"/>
      </rPr>
      <t>E</t>
    </r>
    <r>
      <rPr>
        <sz val="8"/>
        <rFont val="Verdana"/>
        <family val="2"/>
      </rPr>
      <t xml:space="preserve"> on worksheet 1</t>
    </r>
  </si>
  <si>
    <t>total savings</t>
  </si>
  <si>
    <t>Table A21: Crash trend adjustments factors</t>
  </si>
  <si>
    <t>Speed limit</t>
  </si>
  <si>
    <t>Traffic growth rate</t>
  </si>
  <si>
    <t>50 and 60km/h</t>
  </si>
  <si>
    <t>70km/h and above</t>
  </si>
  <si>
    <t>Worksheet 7 – Cycle demand</t>
  </si>
  <si>
    <t>This worksheet is used to calculate cycle demand for a new or upgraded cycle facility or shared path. Check the modelling flowchart to ensure that this procedure is appropriate for your project evaluation needs.
This procedure is a replacement for the previous SP11 Worksheet 7, based upon 22 estimation case studies and 12 validation case studies undertaken in 2021 from across NZ.</t>
  </si>
  <si>
    <t>New and Existing cyclists</t>
  </si>
  <si>
    <t>Buffers (km)</t>
  </si>
  <si>
    <t>&lt;0.4</t>
  </si>
  <si>
    <t>0.4 to &lt;0.8</t>
  </si>
  <si>
    <t>0.8 to ≤ 1.6</t>
  </si>
  <si>
    <t>Jobs in each buffer (solid shape)</t>
  </si>
  <si>
    <t>Jobs in each buffer (annular shape)</t>
  </si>
  <si>
    <t>Likelihood of new cyclist multiplier</t>
  </si>
  <si>
    <t>Average Quality of Service score from AT method</t>
  </si>
  <si>
    <t>Directness</t>
  </si>
  <si>
    <r>
      <t xml:space="preserve">Actual cyclists before intervention - predicted cyclists before intervention; if available. If </t>
    </r>
    <r>
      <rPr>
        <b/>
        <sz val="11"/>
        <color theme="1"/>
        <rFont val="Calibri"/>
        <family val="2"/>
        <scheme val="minor"/>
      </rPr>
      <t>(7)</t>
    </r>
    <r>
      <rPr>
        <sz val="12"/>
        <color theme="1"/>
        <rFont val="Calibri"/>
        <family val="2"/>
        <scheme val="minor"/>
      </rPr>
      <t xml:space="preserve"> is omitted, leave this blank.</t>
    </r>
  </si>
  <si>
    <t>Total new and existing cyclists</t>
  </si>
  <si>
    <t>To calculate the "new" cyclists, subtract the number of actual (or predicted, if you don't have a count) cyclists per day before intervention</t>
  </si>
  <si>
    <t>Worksheet 8 - BCR and incremental analysis</t>
  </si>
  <si>
    <t>Base date</t>
  </si>
  <si>
    <t>BCR calculations</t>
  </si>
  <si>
    <t>Option A</t>
  </si>
  <si>
    <t>Option B</t>
  </si>
  <si>
    <t>Option C</t>
  </si>
  <si>
    <t>Option D</t>
  </si>
  <si>
    <t>Benefits</t>
  </si>
  <si>
    <t>PV Travel time cost savings</t>
  </si>
  <si>
    <r>
      <t xml:space="preserve">Type in the values of </t>
    </r>
    <r>
      <rPr>
        <b/>
        <sz val="8"/>
        <rFont val="Verdana"/>
        <family val="2"/>
      </rPr>
      <t>X</t>
    </r>
    <r>
      <rPr>
        <sz val="8"/>
        <rFont val="Verdana"/>
        <family val="2"/>
      </rPr>
      <t xml:space="preserve">, </t>
    </r>
    <r>
      <rPr>
        <b/>
        <sz val="8"/>
        <rFont val="Verdana"/>
        <family val="2"/>
      </rPr>
      <t>Y</t>
    </r>
    <r>
      <rPr>
        <sz val="8"/>
        <rFont val="Verdana"/>
        <family val="2"/>
      </rPr>
      <t xml:space="preserve">, and </t>
    </r>
    <r>
      <rPr>
        <b/>
        <sz val="8"/>
        <rFont val="Verdana"/>
        <family val="2"/>
      </rPr>
      <t>Z</t>
    </r>
    <r>
      <rPr>
        <sz val="8"/>
        <rFont val="Verdana"/>
        <family val="2"/>
      </rPr>
      <t xml:space="preserve"> from the worksheet 1.
Values to be calculated separately for each option.</t>
    </r>
  </si>
  <si>
    <t>PV Health and environment</t>
  </si>
  <si>
    <t>PV Crash cost savings</t>
  </si>
  <si>
    <t>PV total benefits</t>
  </si>
  <si>
    <t>PV Capital costs (do-min)</t>
  </si>
  <si>
    <t>PV Maintenance costs</t>
  </si>
  <si>
    <t>PV total costs</t>
  </si>
  <si>
    <r>
      <t>BCR</t>
    </r>
    <r>
      <rPr>
        <b/>
        <vertAlign val="subscript"/>
        <sz val="8"/>
        <color indexed="8"/>
        <rFont val="Verdana"/>
        <family val="2"/>
      </rPr>
      <t>N</t>
    </r>
  </si>
  <si>
    <t>Target incremental BCR</t>
  </si>
  <si>
    <r>
      <t>MBCM</t>
    </r>
    <r>
      <rPr>
        <sz val="8"/>
        <rFont val="Verdana"/>
        <family val="2"/>
      </rPr>
      <t xml:space="preserve"> - Section 6.3</t>
    </r>
  </si>
  <si>
    <t>Base option for comparison</t>
  </si>
  <si>
    <t>Next higher cost option</t>
  </si>
  <si>
    <t>Incremental analysis</t>
  </si>
  <si>
    <t>Incremental analysis
1. Select the appropriate target incremental BCR from section 6.3 of the MBCM.
2. Rank the options in order of increasing cost.
3. Compare the lowest cost option with the next higher cost option to calculate the incremental BCR.
4. If the incremental BCR is less than the target incremental BCR, discard the second option in favour of the first and compare the first option with the next higher cost option.
5. If the incremental BCR is greater than the target incremental BCR, the second option becomes the basis for comparison against the next higher cost option.
6. Repeat the procedure until no higher cost options are available that have an incremental BCR greater than the target incremental BCR. The highest cost option with an incremental BCR greater than the target incremental BCR is generally the preferred option.</t>
  </si>
  <si>
    <r>
      <t>Total costs</t>
    </r>
    <r>
      <rPr>
        <b/>
        <sz val="8"/>
        <color indexed="8"/>
        <rFont val="Verdana"/>
        <family val="2"/>
      </rPr>
      <t xml:space="preserve">
(1)</t>
    </r>
  </si>
  <si>
    <r>
      <t>Total benefits</t>
    </r>
    <r>
      <rPr>
        <b/>
        <sz val="8"/>
        <color indexed="8"/>
        <rFont val="Verdana"/>
        <family val="2"/>
      </rPr>
      <t xml:space="preserve">
(2)</t>
    </r>
  </si>
  <si>
    <r>
      <t>Total costs</t>
    </r>
    <r>
      <rPr>
        <b/>
        <sz val="8"/>
        <color indexed="8"/>
        <rFont val="Verdana"/>
        <family val="2"/>
      </rPr>
      <t xml:space="preserve">
(3)</t>
    </r>
  </si>
  <si>
    <r>
      <t>Total Benefits</t>
    </r>
    <r>
      <rPr>
        <b/>
        <sz val="8"/>
        <color indexed="8"/>
        <rFont val="Verdana"/>
        <family val="2"/>
      </rPr>
      <t xml:space="preserve">
(4)</t>
    </r>
  </si>
  <si>
    <r>
      <t>Incremental costs</t>
    </r>
    <r>
      <rPr>
        <b/>
        <sz val="8"/>
        <color indexed="8"/>
        <rFont val="Verdana"/>
        <family val="2"/>
      </rPr>
      <t xml:space="preserve">
(5)=(3)-(1)</t>
    </r>
  </si>
  <si>
    <r>
      <t>Incremental benefits</t>
    </r>
    <r>
      <rPr>
        <b/>
        <sz val="8"/>
        <color indexed="8"/>
        <rFont val="Verdana"/>
        <family val="2"/>
      </rPr>
      <t xml:space="preserve">
(6)=(4)-(2)</t>
    </r>
  </si>
  <si>
    <r>
      <t>Incremental BCR</t>
    </r>
    <r>
      <rPr>
        <vertAlign val="subscript"/>
        <sz val="8"/>
        <color indexed="8"/>
        <rFont val="Verdana"/>
        <family val="2"/>
      </rPr>
      <t>N</t>
    </r>
    <r>
      <rPr>
        <b/>
        <sz val="8"/>
        <color indexed="8"/>
        <rFont val="Verdana"/>
        <family val="2"/>
      </rPr>
      <t xml:space="preserve">
(7)=(6)</t>
    </r>
    <r>
      <rPr>
        <sz val="8"/>
        <color indexed="8"/>
        <rFont val="Verdana"/>
        <family val="2"/>
      </rPr>
      <t>/</t>
    </r>
    <r>
      <rPr>
        <b/>
        <sz val="8"/>
        <color indexed="8"/>
        <rFont val="Verdana"/>
        <family val="2"/>
      </rPr>
      <t xml:space="preserve"> (5)</t>
    </r>
  </si>
  <si>
    <t>Accident adjustment factor</t>
  </si>
  <si>
    <t>50 and 60 km/h</t>
  </si>
  <si>
    <t>70 km/h and above</t>
  </si>
  <si>
    <t>a</t>
  </si>
  <si>
    <t>b</t>
  </si>
  <si>
    <t>c</t>
  </si>
  <si>
    <t>speed</t>
  </si>
  <si>
    <t>growth</t>
  </si>
  <si>
    <t>d</t>
  </si>
  <si>
    <t>e</t>
  </si>
  <si>
    <t>f</t>
  </si>
  <si>
    <t>A6.9</t>
  </si>
  <si>
    <r>
      <t>Tables</t>
    </r>
    <r>
      <rPr>
        <sz val="9"/>
        <rFont val="Verdana"/>
        <family val="2"/>
      </rPr>
      <t>, continued</t>
    </r>
  </si>
  <si>
    <t>Table A6.19(a)</t>
  </si>
  <si>
    <t>Ratio of fatal to serious accident severities by movement for 50 km/h</t>
  </si>
  <si>
    <t>speed limit areas</t>
  </si>
  <si>
    <t>CAS movement codes</t>
  </si>
  <si>
    <t>Fatal/</t>
  </si>
  <si>
    <t>Serious/</t>
  </si>
  <si>
    <t>(fatal + serious)</t>
  </si>
  <si>
    <t xml:space="preserve">Head on </t>
  </si>
  <si>
    <t>AB,B</t>
  </si>
  <si>
    <t xml:space="preserve">Hit object </t>
  </si>
  <si>
    <t xml:space="preserve">Lost control off Road </t>
  </si>
  <si>
    <t>AD,CB,CC,CO,D</t>
  </si>
  <si>
    <t xml:space="preserve">Lost control on road </t>
  </si>
  <si>
    <t>CA</t>
  </si>
  <si>
    <t xml:space="preserve">Miscellaneous </t>
  </si>
  <si>
    <t>Q</t>
  </si>
  <si>
    <t xml:space="preserve">Overtaking </t>
  </si>
  <si>
    <t xml:space="preserve">AA,AC,AE-AO,GE </t>
  </si>
  <si>
    <t xml:space="preserve">Pedestrian </t>
  </si>
  <si>
    <t xml:space="preserve">N,P </t>
  </si>
  <si>
    <t xml:space="preserve">Rear end, crossing </t>
  </si>
  <si>
    <t xml:space="preserve">FB,FC,GD </t>
  </si>
  <si>
    <t xml:space="preserve">Rear end, queuing </t>
  </si>
  <si>
    <t xml:space="preserve">FD,FE,FF,FO </t>
  </si>
  <si>
    <t xml:space="preserve">Rear end, slow vehicle </t>
  </si>
  <si>
    <t xml:space="preserve">FA,GA-GC,GO </t>
  </si>
  <si>
    <t xml:space="preserve">Crossing, direct </t>
  </si>
  <si>
    <t xml:space="preserve">H </t>
  </si>
  <si>
    <t xml:space="preserve">Crossing, turning </t>
  </si>
  <si>
    <t xml:space="preserve">J,K,L,M </t>
  </si>
  <si>
    <t xml:space="preserve">All movements </t>
  </si>
  <si>
    <t>Table A6.19(b)</t>
  </si>
  <si>
    <t>Ratio of fatal to serious accident severities by movement for 70 km/h speed limit areas</t>
  </si>
  <si>
    <t xml:space="preserve">AB,B </t>
  </si>
  <si>
    <t xml:space="preserve">E </t>
  </si>
  <si>
    <t xml:space="preserve">Lost control off road </t>
  </si>
  <si>
    <t xml:space="preserve">AD,CB,CC,CO,D </t>
  </si>
  <si>
    <t xml:space="preserve">CA </t>
  </si>
  <si>
    <t xml:space="preserve">Q </t>
  </si>
  <si>
    <t>Table A6.19(c)</t>
  </si>
  <si>
    <t>Ratio of fatal to serious accident severities by movement for 100 km/h speed limit areas</t>
  </si>
  <si>
    <t>Fatal /</t>
  </si>
  <si>
    <t>Serious /</t>
  </si>
  <si>
    <t>AA,AC,AE-AO,GE</t>
  </si>
  <si>
    <t>N,P</t>
  </si>
  <si>
    <t>FB,FC,GD</t>
  </si>
  <si>
    <t>FD,FE,FF,FO</t>
  </si>
  <si>
    <t>FA,GA-GC,GO</t>
  </si>
  <si>
    <t>H</t>
  </si>
  <si>
    <t>J,K,L,M</t>
  </si>
  <si>
    <t>Table A6.20(a)</t>
  </si>
  <si>
    <t>Factors for converting from reported injury accidents to total injury accident</t>
  </si>
  <si>
    <t>100 km/h speed limit      remote rural area</t>
  </si>
  <si>
    <t>Table A6.20(b)</t>
  </si>
  <si>
    <t>Factor for converting from reported non-injury accidents to total non-injury accidents</t>
  </si>
  <si>
    <t>Table A6.21(a)</t>
  </si>
  <si>
    <t>Cost per accident by movement and vehicle involvement for fatal injury accidents in 50 km/h speed limit areas</t>
  </si>
  <si>
    <t>50 km/h speed limit fatal injury accidents</t>
  </si>
  <si>
    <t>Total cost per accident ($ July 2006)</t>
  </si>
  <si>
    <t>Push cycle</t>
  </si>
  <si>
    <t>Motor cycle</t>
  </si>
  <si>
    <t>Bus</t>
  </si>
  <si>
    <t>Truck</t>
  </si>
  <si>
    <t>Car, van</t>
  </si>
  <si>
    <t>&amp; other</t>
  </si>
  <si>
    <t>Head on</t>
  </si>
  <si>
    <t>Hit object</t>
  </si>
  <si>
    <t>Lost control on road</t>
  </si>
  <si>
    <t>Miscellaneous</t>
  </si>
  <si>
    <t>Car, van &amp; other</t>
  </si>
  <si>
    <t>Overtaking</t>
  </si>
  <si>
    <t>Rear end, crossing</t>
  </si>
  <si>
    <t>Rear end, queuing</t>
  </si>
  <si>
    <t>Rear end, slow vehicle</t>
  </si>
  <si>
    <t>Crossing, direct</t>
  </si>
  <si>
    <t>Crossing, turning</t>
  </si>
  <si>
    <t>Table A6.21(b)</t>
  </si>
  <si>
    <t>Cost per accident by movement and vehicle involvement for serious injury accidents in 50 km/h speed limit areas</t>
  </si>
  <si>
    <t>50 km/h speed limit serious injury accidents</t>
  </si>
  <si>
    <t>Table A6.21(c)</t>
  </si>
  <si>
    <t>Cost per accident by movement and vehicle involvement for minor injury accidents in 50 km/h speed limit areas</t>
  </si>
  <si>
    <t>50 km/h speed limit</t>
  </si>
  <si>
    <t>minor injury accidents</t>
  </si>
  <si>
    <t>Table A6.21(d)</t>
  </si>
  <si>
    <t>Cost per accident by movement and vehicle involvement for non-injury accidents in 50 km/h speed limit areas</t>
  </si>
  <si>
    <t>50 km/h speed limit non-injury accidents</t>
  </si>
  <si>
    <t>Table A6.21(e)</t>
  </si>
  <si>
    <t>Cost per accident by movement and vehicle involvement for fatal injury accidents in 100 km/h speed limit areas</t>
  </si>
  <si>
    <t>100 km/h speed limit fatal injury accidents</t>
  </si>
  <si>
    <t>Movement codes</t>
  </si>
  <si>
    <t>Table A6.21(f)</t>
  </si>
  <si>
    <t>Cost per accident by movement and vehicle involvement for serious injury accidents in 100 km/h speed limit areas</t>
  </si>
  <si>
    <t>100 km/h speed limit serious injury accidents</t>
  </si>
  <si>
    <t>Table A6.21(g)</t>
  </si>
  <si>
    <t>Cost per accident by movement and vehicle involvement for minor injury accidents in 100 km/h speed limit areas</t>
  </si>
  <si>
    <t>100 km/h speed limit minor injury accidents</t>
  </si>
  <si>
    <t>Table A6.21(h)</t>
  </si>
  <si>
    <t>Cost per accident by movement and vehicle involvement for non-injury accidents in 100 km/h speed limit areas</t>
  </si>
  <si>
    <t>100 km/h speed limit non-injury accidents</t>
  </si>
  <si>
    <t>SP11-3 Option</t>
  </si>
  <si>
    <t>SP11-2 Do minimum</t>
  </si>
  <si>
    <t>Step 1</t>
  </si>
  <si>
    <t>Step 2</t>
  </si>
  <si>
    <t>Step 3</t>
  </si>
  <si>
    <t>SPPWF(1)</t>
  </si>
  <si>
    <t>2009/10</t>
  </si>
  <si>
    <t>2010/11</t>
  </si>
  <si>
    <t>2011/12</t>
  </si>
  <si>
    <t>yr (n)</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</si>
  <si>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</si>
  <si>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</si>
  <si>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</si>
  <si>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</si>
  <si>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</si>
  <si>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</si>
  <si>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</si>
  <si>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</si>
  <si>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</si>
  <si>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</si>
  <si>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</si>
  <si>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</si>
  <si>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</si>
  <si>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</si>
  <si>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</si>
  <si>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</si>
  <si>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</si>
  <si>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</si>
  <si>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</si>
  <si>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</si>
  <si>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</si>
  <si>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</si>
  <si>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</si>
  <si>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</si>
  <si>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</si>
  <si>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</si>
  <si>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</si>
  <si>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</si>
  <si>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</si>
  <si>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</si>
  <si>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</si>
  <si>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</si>
  <si>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</si>
  <si>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</si>
  <si>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</si>
  <si>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</si>
  <si>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</si>
  <si>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</si>
  <si>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</si>
  <si>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2052/53</t>
  </si>
  <si>
    <t>2053/54</t>
  </si>
  <si>
    <t>2054/55</t>
  </si>
  <si>
    <t>2055/56</t>
  </si>
  <si>
    <t>2056/57</t>
  </si>
  <si>
    <t>2057/58</t>
  </si>
  <si>
    <t>2058/59</t>
  </si>
  <si>
    <t>2059/60</t>
  </si>
  <si>
    <t>Experienced evaluator judgement: additional cyclists not modelled</t>
  </si>
  <si>
    <t>2021 update using 2015 relative values to the value per injury</t>
  </si>
  <si>
    <t>Table A28: Cost per crash by movement and vehicle involvement for fatal injury crashes in 50km/h speed limit areas</t>
  </si>
  <si>
    <t>50km/h speed limit fatal injury crashes</t>
  </si>
  <si>
    <t>Total cost per crash by vehicle type ($M 2021)</t>
  </si>
  <si>
    <t>Cycle</t>
  </si>
  <si>
    <t>Motorcycle</t>
  </si>
  <si>
    <t>Car, van and other</t>
  </si>
  <si>
    <t>AB, B</t>
  </si>
  <si>
    <t>AD, CB, CC, CO, D</t>
  </si>
  <si>
    <t>AA, AC, AE-AO, GE</t>
  </si>
  <si>
    <t>N, P</t>
  </si>
  <si>
    <t>FB, FC, GD</t>
  </si>
  <si>
    <t>FD, FE, FF, FO</t>
  </si>
  <si>
    <t>FA, GA-GC, GO</t>
  </si>
  <si>
    <t>J, K, L, M</t>
  </si>
  <si>
    <t>Table A29: Cost per crash by movement and vehicle involvement for serious injury crashes in 50km/h speed limit areas</t>
  </si>
  <si>
    <t>50km/h speed limit serious injury crashes</t>
  </si>
  <si>
    <t>Total cost per crash by vehicle type ($000 2021)</t>
  </si>
  <si>
    <t>Table A30: Cost per crash by movement and vehicle involvement for minor injury crashes in 50km/h speed limit areas</t>
  </si>
  <si>
    <t xml:space="preserve">50km/h speed limit </t>
  </si>
  <si>
    <t>minor injury crashes</t>
  </si>
  <si>
    <t>Table A31: Cost per crash by movement and vehicle involvement for non-injury crashes in 50km/h speed limit areas</t>
  </si>
  <si>
    <t>50km/h speed limit non-injury crashes</t>
  </si>
  <si>
    <t>Table A32: Cost per crash by movement and vehicle involvement for fatal injury crashes in 100km/h speed limit areas</t>
  </si>
  <si>
    <t>100km/h speed limit fatal injury crashes</t>
  </si>
  <si>
    <t>Table A33: Cost per crash by movement and vehicle involvement for serious injury crashes in 100km/h speed limit areas</t>
  </si>
  <si>
    <t xml:space="preserve">100km/h speed limit </t>
  </si>
  <si>
    <t>serious injury crashes</t>
  </si>
  <si>
    <t>Table A34: Cost per crash by movement and vehicle involvement for minor injury crashes in 100km/h speed limit areas</t>
  </si>
  <si>
    <t>Table A35: Cost per crash by movement and vehicle involvement for non-injury crashes in 100km/h speed limit areas</t>
  </si>
  <si>
    <t>non-injury crashes</t>
  </si>
  <si>
    <t>Total cost per accident ($ July 2015)</t>
  </si>
  <si>
    <t>Benefit= reduced VKT per year x LVs CO2-e rate (t/km) x median shadow price of carbon ($/t) x discount factor</t>
  </si>
  <si>
    <t>SP11-1: 'Evaluation Summary</t>
  </si>
  <si>
    <t>SP11-2: 'Cost of do-minimum</t>
  </si>
  <si>
    <t>SP11-3(1): 'Cost of the option 1</t>
  </si>
  <si>
    <t>SP11-3(2): 'Cost of the option 2</t>
  </si>
  <si>
    <t>SP11-3(3): 'Cost of the option 3</t>
  </si>
  <si>
    <t>SP11-4: 'Travel time cost savings</t>
  </si>
  <si>
    <t>SP11-5: 'Benefits for walking and cycling facilities</t>
  </si>
  <si>
    <t>SP11-6: 'Crash cost savings</t>
  </si>
  <si>
    <t>SP11-7: 'Cycle demand</t>
  </si>
  <si>
    <t>SP11-8: 'BCR and incremental analysis</t>
  </si>
  <si>
    <t>=J23+L23*(39+780*N44)</t>
  </si>
  <si>
    <t>Total Monetised Benefits</t>
  </si>
  <si>
    <t>BCR</t>
  </si>
  <si>
    <t>Two</t>
  </si>
  <si>
    <t>Three</t>
  </si>
  <si>
    <t>Healt benefits of walking and cycling 2021</t>
  </si>
  <si>
    <t>Cycling conventional</t>
  </si>
  <si>
    <t>Cycling electric</t>
  </si>
  <si>
    <t>Walking</t>
  </si>
  <si>
    <t>/km</t>
  </si>
  <si>
    <t>per trip</t>
  </si>
  <si>
    <t>x 365 x $14.70 x DF</t>
  </si>
  <si>
    <t xml:space="preserve">Benefit = number of additional cycle trips/day x 365 x $14.70 x discount factor </t>
  </si>
  <si>
    <t>x 365 x $9.90 x DF</t>
  </si>
  <si>
    <t xml:space="preserve">Benefit = number of additional  pedestrians/day x 365 x $9.90 x discount factor </t>
  </si>
  <si>
    <t xml:space="preserve">(years 2 to </t>
  </si>
  <si>
    <t>Inclusive)$</t>
  </si>
  <si>
    <t>On street, parking, no cycle lane</t>
  </si>
  <si>
    <t>On Street cycle lane, parking</t>
  </si>
  <si>
    <t>On Street cycle lane, no parking</t>
  </si>
  <si>
    <t>Off-street cycle path</t>
  </si>
  <si>
    <t>Shared use path</t>
  </si>
  <si>
    <t>Footpath</t>
  </si>
  <si>
    <t>Days/week</t>
  </si>
  <si>
    <t>Frequency distribution %</t>
  </si>
  <si>
    <t>Number of weekly users</t>
  </si>
  <si>
    <t>Annual benefit per cyclist by category</t>
  </si>
  <si>
    <t>APPLY CAP?</t>
  </si>
  <si>
    <t>Annual benefits to be applied</t>
  </si>
  <si>
    <t xml:space="preserve"> NPD</t>
  </si>
  <si>
    <t>Annual benefit per new pedestrian</t>
  </si>
  <si>
    <t>x DF = $</t>
  </si>
  <si>
    <t>PV of Capped benefit</t>
  </si>
  <si>
    <t>Capped annual benefit</t>
  </si>
  <si>
    <t>weighted cap</t>
  </si>
  <si>
    <t>% of push bikes</t>
  </si>
  <si>
    <t>% of e-bikes</t>
  </si>
  <si>
    <t>x 0.000161 x $256</t>
  </si>
  <si>
    <t>Cycling</t>
  </si>
  <si>
    <t>Annual benefits per user to be applied</t>
  </si>
  <si>
    <t>Annual benefit  by category</t>
  </si>
  <si>
    <t>Cap (per year)</t>
  </si>
  <si>
    <t xml:space="preserve"> x NDP x</t>
  </si>
  <si>
    <t xml:space="preserve"> x L x 52 x $9.90=  $</t>
  </si>
  <si>
    <t>Capped annual benefit per pedestrian</t>
  </si>
  <si>
    <t>Total PV Capped benefit = $</t>
  </si>
  <si>
    <r>
      <rPr>
        <b/>
        <sz val="8"/>
        <rFont val="Verdana"/>
        <family val="2"/>
      </rPr>
      <t>Benefit</t>
    </r>
    <r>
      <rPr>
        <sz val="8"/>
        <rFont val="Verdana"/>
        <family val="2"/>
      </rPr>
      <t xml:space="preserve"> = Capped annual benefit per cyclist based on the maximum annual benefit of $3,100 per user x number of users (NPD) x frequency distribution of cyclists x discount factor</t>
    </r>
  </si>
  <si>
    <t xml:space="preserve"> x L x 52 x $4.49=  $</t>
  </si>
  <si>
    <r>
      <rPr>
        <b/>
        <sz val="8"/>
        <rFont val="Verdana"/>
        <family val="2"/>
      </rPr>
      <t>Benefit</t>
    </r>
    <r>
      <rPr>
        <sz val="8"/>
        <rFont val="Verdana"/>
        <family val="2"/>
      </rPr>
      <t xml:space="preserve"> = Capped annual benefit per pedestrian based on the maximum annual benefit of $3,100 per user x NPD x frequency distribution of pedestrians x discount factor</t>
    </r>
  </si>
  <si>
    <t>Spreadsheet released 14-Apr-2023</t>
  </si>
  <si>
    <t>See PIKB for guidance on selection of preferred option using NZTA's business case approach</t>
  </si>
  <si>
    <t>Full name, contact details, name of organisation, office location, etc</t>
  </si>
  <si>
    <t>The financial year in which the activity is submitted for a commitment to funding.</t>
  </si>
  <si>
    <t>The financial year which represents the present year for the calculation of PVs.</t>
  </si>
  <si>
    <t>As a requirement for the preferred option.</t>
  </si>
  <si>
    <r>
      <t xml:space="preserve">Must be based on local counts and realistic projections. In absence of reliable data </t>
    </r>
    <r>
      <rPr>
        <u/>
        <sz val="8"/>
        <color indexed="12"/>
        <rFont val="Verdana"/>
        <family val="2"/>
      </rPr>
      <t>Worksheet SP11-7</t>
    </r>
    <r>
      <rPr>
        <sz val="8"/>
        <rFont val="Verdana"/>
        <family val="2"/>
      </rPr>
      <t xml:space="preserve"> may be used for estimating the cyclist volumes.</t>
    </r>
  </si>
  <si>
    <t>Based on preferred option's scheme and realistic projections</t>
  </si>
  <si>
    <r>
      <t xml:space="preserve">Type in the value of </t>
    </r>
    <r>
      <rPr>
        <b/>
        <sz val="8"/>
        <rFont val="Verdana"/>
        <family val="2"/>
      </rPr>
      <t>A</t>
    </r>
    <r>
      <rPr>
        <sz val="8"/>
        <rFont val="Verdana"/>
        <family val="2"/>
      </rPr>
      <t xml:space="preserve"> from the worksheet 2.</t>
    </r>
  </si>
  <si>
    <r>
      <t xml:space="preserve">Type in the value of </t>
    </r>
    <r>
      <rPr>
        <b/>
        <sz val="8"/>
        <rFont val="Verdana"/>
        <family val="2"/>
      </rPr>
      <t>B</t>
    </r>
    <r>
      <rPr>
        <sz val="8"/>
        <rFont val="Verdana"/>
        <family val="2"/>
      </rPr>
      <t xml:space="preserve"> from the worksheet 3 (preferred option). Repeated on table to right</t>
    </r>
  </si>
  <si>
    <r>
      <rPr>
        <sz val="8"/>
        <rFont val="Verdana"/>
        <family val="2"/>
      </rPr>
      <t xml:space="preserve">Visit </t>
    </r>
    <r>
      <rPr>
        <u/>
        <sz val="8"/>
        <color indexed="12"/>
        <rFont val="Verdana"/>
        <family val="2"/>
      </rPr>
      <t>MBCM web page</t>
    </r>
    <r>
      <rPr>
        <sz val="8"/>
        <rFont val="Verdana"/>
        <family val="2"/>
      </rPr>
      <t xml:space="preserve"> for the latest update factors</t>
    </r>
  </si>
  <si>
    <t>Annual costs required to maintain the existing condition (business as usual).</t>
  </si>
  <si>
    <t>Periodic costs required to maintain the existing condition (business as usual).</t>
  </si>
  <si>
    <t>Annual costs required to maintain the existing condition (business as usual). Operating costs must be distinct from, and in addition to, maintenance costs.</t>
  </si>
  <si>
    <t>Annual costs forecast for inspections and maintenance after completion of the project</t>
  </si>
  <si>
    <t>Periodic costs forecast to maintain the planned condition (business as usual).</t>
  </si>
  <si>
    <t>Additional annual costs forecast to maintain the planned condition (business as usual).</t>
  </si>
  <si>
    <r>
      <t xml:space="preserve">- Descriptions of the used parameters are found on the guidance note above the calculation sheet.
- The total of the maximum value of </t>
    </r>
    <r>
      <rPr>
        <b/>
        <sz val="8"/>
        <rFont val="Verdana"/>
        <family val="2"/>
      </rPr>
      <t>(a)</t>
    </r>
    <r>
      <rPr>
        <sz val="8"/>
        <rFont val="Verdana"/>
        <family val="2"/>
      </rPr>
      <t xml:space="preserve"> and </t>
    </r>
    <r>
      <rPr>
        <b/>
        <sz val="8"/>
        <rFont val="Verdana"/>
        <family val="2"/>
      </rPr>
      <t>(b)</t>
    </r>
    <r>
      <rPr>
        <sz val="8"/>
        <rFont val="Verdana"/>
        <family val="2"/>
      </rPr>
      <t xml:space="preserve"> and the maximum value of </t>
    </r>
    <r>
      <rPr>
        <b/>
        <sz val="8"/>
        <rFont val="Verdana"/>
        <family val="2"/>
      </rPr>
      <t>(C)</t>
    </r>
    <r>
      <rPr>
        <sz val="8"/>
        <rFont val="Verdana"/>
        <family val="2"/>
      </rPr>
      <t xml:space="preserve"> and </t>
    </r>
    <r>
      <rPr>
        <b/>
        <sz val="8"/>
        <rFont val="Verdana"/>
        <family val="2"/>
      </rPr>
      <t>(d)</t>
    </r>
    <r>
      <rPr>
        <sz val="8"/>
        <rFont val="Verdana"/>
        <family val="2"/>
      </rPr>
      <t xml:space="preserve"> is automatically transferred to </t>
    </r>
    <r>
      <rPr>
        <b/>
        <sz val="8"/>
        <rFont val="Verdana"/>
        <family val="2"/>
      </rPr>
      <t>D</t>
    </r>
    <r>
      <rPr>
        <sz val="8"/>
        <rFont val="Verdana"/>
        <family val="2"/>
      </rPr>
      <t xml:space="preserve"> on worksheet 1.</t>
    </r>
  </si>
  <si>
    <r>
      <t>- Descriptions of the used parameters are found on the guidance note above the calculation sheet.
- In the absence of a specific crash analysis in worksheet 6</t>
    </r>
    <r>
      <rPr>
        <b/>
        <sz val="8"/>
        <rFont val="Verdana"/>
        <family val="2"/>
      </rPr>
      <t xml:space="preserve"> </t>
    </r>
    <r>
      <rPr>
        <sz val="8"/>
        <rFont val="Verdana"/>
        <family val="2"/>
      </rPr>
      <t xml:space="preserve">the maximum value of </t>
    </r>
    <r>
      <rPr>
        <b/>
        <sz val="8"/>
        <rFont val="Verdana"/>
        <family val="2"/>
      </rPr>
      <t>(e)</t>
    </r>
    <r>
      <rPr>
        <sz val="8"/>
        <rFont val="Verdana"/>
        <family val="2"/>
      </rPr>
      <t xml:space="preserve"> and </t>
    </r>
    <r>
      <rPr>
        <b/>
        <sz val="8"/>
        <rFont val="Verdana"/>
        <family val="2"/>
      </rPr>
      <t>(f)</t>
    </r>
    <r>
      <rPr>
        <sz val="8"/>
        <rFont val="Verdana"/>
        <family val="2"/>
      </rPr>
      <t xml:space="preserve"> is automatically transferred to </t>
    </r>
    <r>
      <rPr>
        <b/>
        <sz val="8"/>
        <rFont val="Verdana"/>
        <family val="2"/>
      </rPr>
      <t>E</t>
    </r>
    <r>
      <rPr>
        <sz val="8"/>
        <rFont val="Verdana"/>
        <family val="2"/>
      </rPr>
      <t xml:space="preserve"> on worksheet 1.</t>
    </r>
  </si>
  <si>
    <r>
      <rPr>
        <b/>
        <sz val="8"/>
        <color theme="1"/>
        <rFont val="Verdana"/>
        <family val="2"/>
      </rPr>
      <t>Travel demand</t>
    </r>
    <r>
      <rPr>
        <sz val="8"/>
        <color theme="1"/>
        <rFont val="Verdana"/>
        <family val="2"/>
      </rPr>
      <t>: GIS (geographic information software) facilitates the process of obtaining jobs data for the specified buffers around the facility</t>
    </r>
  </si>
  <si>
    <r>
      <t xml:space="preserve">Use Census data (individual part 3a - main means of travel to work </t>
    </r>
    <r>
      <rPr>
        <b/>
        <sz val="8"/>
        <color theme="1"/>
        <rFont val="Verdana"/>
        <family val="2"/>
      </rPr>
      <t>by workplace address</t>
    </r>
    <r>
      <rPr>
        <sz val="8"/>
        <color theme="1"/>
        <rFont val="Verdana"/>
        <family val="2"/>
      </rPr>
      <t xml:space="preserve">) to determine the number of people who </t>
    </r>
    <r>
      <rPr>
        <b/>
        <sz val="8"/>
        <color theme="1"/>
        <rFont val="Verdana"/>
        <family val="2"/>
      </rPr>
      <t>travelled</t>
    </r>
    <r>
      <rPr>
        <sz val="8"/>
        <color theme="1"/>
        <rFont val="Verdana"/>
        <family val="2"/>
      </rPr>
      <t xml:space="preserve"> to a workplace (i.e. excluding those who worked from home) in buffers 0.4 km, 0.8 km, and 1.6 km from the facility.</t>
    </r>
  </si>
  <si>
    <r>
      <t xml:space="preserve">As above, but for the annular (i.e. doughnut-shaped) buffers where each excludes the area of the smaller buffer(s) i.e. creating buffers of radius r ≤ 0.4 km, 0.4 &lt; r ≤ 0.8 km, and 0.8 &lt; r ≤ 1.6 km.  This step can be performed directly in GIS, or from the values in </t>
    </r>
    <r>
      <rPr>
        <b/>
        <sz val="8"/>
        <color theme="1"/>
        <rFont val="Verdana"/>
        <family val="2"/>
      </rPr>
      <t>(1)</t>
    </r>
    <r>
      <rPr>
        <sz val="8"/>
        <color theme="1"/>
        <rFont val="Verdana"/>
        <family val="2"/>
      </rPr>
      <t>.</t>
    </r>
  </si>
  <si>
    <r>
      <rPr>
        <b/>
        <sz val="8"/>
        <color theme="1"/>
        <rFont val="Verdana"/>
        <family val="2"/>
      </rPr>
      <t>QoS assessment</t>
    </r>
    <r>
      <rPr>
        <sz val="8"/>
        <color theme="1"/>
        <rFont val="Verdana"/>
        <family val="2"/>
      </rPr>
      <t xml:space="preserve">: use the Auckland Transport QoS method: https://at.govt.nz/about-us/manuals-guidelines/quality-of-service-evaluation-tool-for-cycle-facilities/
Calculate segment, intersection, and overall average* QoS for the proposed project. If the facility is 3.0 m wide, then you can select from two width bands in the tool. Choose the higher (better) score if the facility is consistently &gt;= 3.0 m and/or a high quality/amenity, and the lower score if there are pinch points.
Note: if you have "before" count data, calculate QoS for the existing conditions and enter this at step 10a, to aid calibration.
</t>
    </r>
  </si>
  <si>
    <r>
      <t xml:space="preserve">Run the model using existing conditions and then subtract the predicted daily riders </t>
    </r>
    <r>
      <rPr>
        <b/>
        <sz val="8"/>
        <color theme="1"/>
        <rFont val="Verdana"/>
        <family val="2"/>
      </rPr>
      <t xml:space="preserve">(9) </t>
    </r>
    <r>
      <rPr>
        <sz val="8"/>
        <color theme="1"/>
        <rFont val="Verdana"/>
        <family val="2"/>
      </rPr>
      <t>from the actual daily riders from count data. If you don't have an existing count OR you don't calculate directness, then leave this value set to zero.</t>
    </r>
  </si>
  <si>
    <r>
      <rPr>
        <b/>
        <sz val="8"/>
        <color theme="1"/>
        <rFont val="Verdana"/>
        <family val="2"/>
      </rPr>
      <t>Modification</t>
    </r>
    <r>
      <rPr>
        <sz val="8"/>
        <color theme="1"/>
        <rFont val="Verdana"/>
        <family val="2"/>
      </rPr>
      <t>: Additional daily cyclists expected due to other route-specific conditions not accounted for in model e.g. large school with high cycling mode share. Could use bike shed counts (doubled, to account for round-trip travel). Any value here must be justified with robust supporting documentation.</t>
    </r>
  </si>
  <si>
    <r>
      <t xml:space="preserve">Final result: predicted total cyclists after intervention </t>
    </r>
    <r>
      <rPr>
        <b/>
        <sz val="8"/>
        <color theme="1"/>
        <rFont val="Verdana"/>
        <family val="2"/>
      </rPr>
      <t>(9)</t>
    </r>
    <r>
      <rPr>
        <sz val="8"/>
        <color theme="1"/>
        <rFont val="Verdana"/>
        <family val="2"/>
      </rPr>
      <t>+</t>
    </r>
    <r>
      <rPr>
        <b/>
        <sz val="8"/>
        <color theme="1"/>
        <rFont val="Verdana"/>
        <family val="2"/>
      </rPr>
      <t>(10)</t>
    </r>
  </si>
  <si>
    <t>Annual benefit per pedestrian by category</t>
  </si>
  <si>
    <t>Shadow price of carbon, median value</t>
  </si>
  <si>
    <t>Length of trip (km)</t>
  </si>
  <si>
    <t>Worksheet 5 is used to calculate the walking and cycling facility benefits for the various options. Only one category for walking and one category for cycling may be used in an evaluation of a proposal. If an activity contains more categories, they must be submitted as separate evaluations.
Activities that combine walking and cycling may claim benefits for both modes but safety issues arising from pedestrian/cycle conflicts must be addressed, and if there are additional crash costs these must be accounted for in worksheet 6. Make sure the estimates of the new number of pedestrians and/or cyclists generated by the facility are realistic.
Required information:
L        Walking and cycling trip length. Note the average walking and cycling trip lengths indicated in the MBCM.
NPD   Number of additional pedestrians per day
NTD   Number of additional cycle trips per day 
NSD   Number of additional and existing cycle trips per day
DF     Discount factor. The discount factor may differ by mode depending on the growth rate</t>
  </si>
  <si>
    <t>Frequency %</t>
  </si>
  <si>
    <t>Frequency</t>
  </si>
  <si>
    <t>Source for frequency distribution and bike/e-bike split: NZTA Customer Journey Survey, Calendar year 2022</t>
  </si>
  <si>
    <r>
      <t xml:space="preserve">Weighted jobs [sum-product of </t>
    </r>
    <r>
      <rPr>
        <b/>
        <sz val="8"/>
        <rFont val="Verdana"/>
        <family val="2"/>
      </rPr>
      <t>(2)</t>
    </r>
    <r>
      <rPr>
        <sz val="8"/>
        <rFont val="Verdana"/>
        <family val="2"/>
      </rPr>
      <t xml:space="preserve"> x </t>
    </r>
    <r>
      <rPr>
        <b/>
        <sz val="8"/>
        <rFont val="Verdana"/>
        <family val="2"/>
      </rPr>
      <t>(3)</t>
    </r>
    <r>
      <rPr>
        <sz val="8"/>
        <rFont val="Verdana"/>
        <family val="2"/>
      </rPr>
      <t>]</t>
    </r>
  </si>
  <si>
    <r>
      <t>Transformed Quality of Service (QoS) average score</t>
    </r>
    <r>
      <rPr>
        <b/>
        <sz val="8"/>
        <rFont val="Verdana"/>
        <family val="2"/>
      </rPr>
      <t xml:space="preserve"> </t>
    </r>
    <r>
      <rPr>
        <b/>
        <sz val="8"/>
        <color theme="1"/>
        <rFont val="Verdana"/>
        <family val="2"/>
      </rPr>
      <t xml:space="preserve">(6) = </t>
    </r>
    <r>
      <rPr>
        <sz val="8"/>
        <color theme="1"/>
        <rFont val="Verdana"/>
        <family val="2"/>
      </rPr>
      <t>4</t>
    </r>
    <r>
      <rPr>
        <b/>
        <sz val="8"/>
        <color theme="1"/>
        <rFont val="Verdana"/>
        <family val="2"/>
      </rPr>
      <t xml:space="preserve"> - (5)</t>
    </r>
  </si>
  <si>
    <r>
      <rPr>
        <b/>
        <sz val="8"/>
        <color theme="1"/>
        <rFont val="Verdana"/>
        <family val="2"/>
      </rPr>
      <t>Directness</t>
    </r>
    <r>
      <rPr>
        <sz val="8"/>
        <color theme="1"/>
        <rFont val="Verdana"/>
        <family val="2"/>
      </rPr>
      <t>: shortest route / length subject route; higher number is better. If this variable is assessed, research model 8c is used. If this variable is left blank, research model 10 is used. If the subject route is substantially longer than the fastest route (e.g. directness &lt; 0.9) then the model will predict low or no new cyclists attracted. Consider leaving this variable out if the amenity and QoS of the new route is far better than the shorter route.</t>
    </r>
  </si>
  <si>
    <r>
      <rPr>
        <b/>
        <sz val="8"/>
        <color theme="1"/>
        <rFont val="Verdana"/>
        <family val="2"/>
      </rPr>
      <t>Estimate demand -</t>
    </r>
    <r>
      <rPr>
        <sz val="8"/>
        <color theme="1"/>
        <rFont val="Verdana"/>
        <family val="2"/>
      </rPr>
      <t xml:space="preserve"> using the model 8c equation Count = -2076.1+(0.0061*WeightedJobs)+(252.8*QoSAverage)+(1745.4*Directness)+84% of the difference between actual before count and the estimated before count or model 10 equation Count = e^(3.758+(.747*QoSAverage)+( 0.00001661* WeightedJobs). Note, this spreadsheet has been configured to prohibit the aforemntioned equations from producing negative results.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</si>
</sst>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44" formatCode="_-&quot;$&quot;* #,##0.00_-;\-&quot;$&quot;* #,##0.00_-;_-&quot;$&quot;* &quot;-&quot;??_-;_-@_-"/>
    <numFmt numFmtId="43" formatCode="_-* #,##0.00_-;\-* #,##0.00_-;_-* &quot;-&quot;??_-;_-@_-"/>
    <numFmt numFmtId="164" formatCode="d/mm/yyyy;@"/>
    <numFmt numFmtId="165" formatCode="&quot;$&quot;#,##0;[Red]&quot;$&quot;#,##0"/>
    <numFmt numFmtId="166" formatCode="#,##0.0;[Red]#,##0.0"/>
    <numFmt numFmtId="167" formatCode="0.0%"/>
    <numFmt numFmtId="168" formatCode="0.0"/>
    <numFmt numFmtId="169" formatCode="0.000"/>
    <numFmt numFmtId="170" formatCode="#,##0_ ;\-#,##0\ "/>
    <numFmt numFmtId="171" formatCode="&quot;$&quot;#,##0"/>
    <numFmt numFmtId="172" formatCode="_-* #,##0_-;\-* #,##0_-;_-* &quot;-&quot;??_-;_-@_-"/>
    <numFmt numFmtId="173" formatCode="&quot;$&quot;#,##0.00"/>
    <numFmt numFmtId="174" formatCode="0.0000"/>
    <numFmt numFmtId="175" formatCode="mm\-yyyy"/>
    <numFmt numFmtId="176" formatCode="#,##0.0"/>
    <numFmt numFmtId="177" formatCode="0.000000000000000%"/>
    <numFmt numFmtId="178" formatCode="0.0000000000000%"/>
    <numFmt numFmtId="179" formatCode="_-* #,##0.0_-;\-* #,##0.0_-;_-* &quot;-&quot;??_-;_-@_-"/>
    <numFmt numFmtId="180" formatCode="_-&quot;$&quot;* #,##0_-;\-&quot;$&quot;* #,##0_-;_-&quot;$&quot;* &quot;-&quot;??_-;_-@_-"/>
  </numFmts>
  <fonts count="112">
    <font>
      <sz val="12"/>
      <color theme="1"/>
      <name val="Calibri"/>
      <family val="2"/>
      <scheme val="minor"/>
    </font>
    <font>
      <sz val="11"/>
      <color theme="1"/>
      <name val="Calibri"/>
      <family val="2"/>
      <scheme val="minor"/>
    </font>
    <font>
      <sz val="8"/>
      <name val="Calibri"/>
      <family val="2"/>
    </font>
    <font>
      <sz val="12"/>
      <color indexed="56"/>
      <name val="Whitney Semibold"/>
    </font>
    <font>
      <b/>
      <sz val="12"/>
      <color indexed="56"/>
      <name val="Calibri"/>
      <family val="2"/>
    </font>
    <font>
      <sz val="12"/>
      <color indexed="63"/>
      <name val="Calibri"/>
      <family val="2"/>
    </font>
    <font>
      <sz val="10"/>
      <color indexed="9"/>
      <name val="Calibri"/>
      <family val="2"/>
    </font>
    <font>
      <b/>
      <sz val="12"/>
      <color indexed="9"/>
      <name val="Calibri"/>
      <family val="2"/>
    </font>
    <font>
      <sz val="12"/>
      <color theme="1"/>
      <name val="Whitney Light"/>
    </font>
    <font>
      <sz val="12"/>
      <color theme="1"/>
      <name val="Whitney Book"/>
    </font>
    <font>
      <sz val="12"/>
      <color theme="1" tint="0.34998626667073579"/>
      <name val="Whitney Light"/>
    </font>
    <font>
      <b/>
      <sz val="12"/>
      <color rgb="FF043B61"/>
      <name val="Calibri"/>
      <family val="2"/>
    </font>
    <font>
      <sz val="12"/>
      <color theme="1"/>
      <name val="Calibri"/>
      <family val="2"/>
    </font>
    <font>
      <b/>
      <sz val="12"/>
      <color theme="1"/>
      <name val="Calibri"/>
      <family val="2"/>
    </font>
    <font>
      <sz val="12"/>
      <color theme="1" tint="0.34998626667073579"/>
      <name val="Calibri"/>
      <family val="2"/>
    </font>
    <font>
      <b/>
      <sz val="14"/>
      <color rgb="FF043B61"/>
      <name val="Calibri"/>
      <family val="2"/>
    </font>
    <font>
      <b/>
      <sz val="30"/>
      <color theme="0"/>
      <name val="Calibri"/>
      <family val="2"/>
    </font>
    <font>
      <b/>
      <sz val="28"/>
      <color theme="0"/>
      <name val="Calibri"/>
      <family val="2"/>
    </font>
    <font>
      <sz val="12"/>
      <color rgb="FF043B61"/>
      <name val="Whitney Semibold"/>
    </font>
    <font>
      <sz val="14"/>
      <color rgb="FF043B61"/>
      <name val="Calibri"/>
      <family val="2"/>
    </font>
    <font>
      <b/>
      <sz val="12"/>
      <color theme="1"/>
      <name val="Calibri"/>
      <family val="2"/>
      <scheme val="minor"/>
    </font>
    <font>
      <u/>
      <sz val="12"/>
      <color theme="10"/>
      <name val="Calibri"/>
      <family val="2"/>
      <scheme val="minor"/>
    </font>
    <font>
      <u/>
      <sz val="12"/>
      <color theme="11"/>
      <name val="Calibri"/>
      <family val="2"/>
      <scheme val="minor"/>
    </font>
    <font>
      <sz val="12"/>
      <color rgb="FF80A30A"/>
      <name val="Whitney Semibold"/>
    </font>
    <font>
      <b/>
      <sz val="12"/>
      <color indexed="50"/>
      <name val="Calibri"/>
      <family val="2"/>
    </font>
    <font>
      <sz val="12"/>
      <color indexed="50"/>
      <name val="Whitney Semibold"/>
    </font>
    <font>
      <i/>
      <sz val="12"/>
      <color indexed="63"/>
      <name val="Calibri"/>
      <family val="2"/>
    </font>
    <font>
      <sz val="12"/>
      <color theme="1" tint="0.249977111117893"/>
      <name val="Calibri"/>
      <family val="2"/>
    </font>
    <font>
      <b/>
      <sz val="12"/>
      <color indexed="52"/>
      <name val="Calibri"/>
      <family val="2"/>
    </font>
    <font>
      <sz val="12"/>
      <color indexed="53"/>
      <name val="Whitney Semibold"/>
    </font>
    <font>
      <b/>
      <sz val="12"/>
      <color indexed="53"/>
      <name val="Calibri"/>
      <family val="2"/>
    </font>
    <font>
      <b/>
      <sz val="12"/>
      <color indexed="17"/>
      <name val="Calibri"/>
      <family val="2"/>
    </font>
    <font>
      <i/>
      <sz val="12"/>
      <color indexed="50"/>
      <name val="Calibri"/>
      <family val="2"/>
    </font>
    <font>
      <b/>
      <sz val="12"/>
      <color indexed="57"/>
      <name val="Calibri"/>
      <family val="2"/>
    </font>
    <font>
      <i/>
      <sz val="12"/>
      <color indexed="57"/>
      <name val="Calibri"/>
      <family val="2"/>
    </font>
    <font>
      <sz val="12"/>
      <color rgb="FF80A30A"/>
      <name val="Whitney Semibold"/>
      <family val="2"/>
    </font>
    <font>
      <sz val="11"/>
      <color theme="0"/>
      <name val="Calibri"/>
      <family val="2"/>
    </font>
    <font>
      <sz val="12"/>
      <color theme="1"/>
      <name val="Calibri"/>
      <family val="2"/>
      <scheme val="minor"/>
    </font>
    <font>
      <sz val="12"/>
      <color rgb="FF80A30A"/>
      <name val="Calibri"/>
      <family val="2"/>
    </font>
    <font>
      <sz val="12"/>
      <color indexed="9"/>
      <name val="Calibri"/>
      <family val="2"/>
    </font>
    <font>
      <sz val="10"/>
      <color theme="0"/>
      <name val="Calibri"/>
      <family val="2"/>
    </font>
    <font>
      <sz val="12"/>
      <color indexed="57"/>
      <name val="Calibri"/>
      <family val="2"/>
    </font>
    <font>
      <sz val="10"/>
      <color theme="1"/>
      <name val="Lucida Sans"/>
      <family val="2"/>
    </font>
    <font>
      <b/>
      <sz val="11"/>
      <color theme="1"/>
      <name val="Calibri"/>
      <family val="2"/>
      <scheme val="minor"/>
    </font>
    <font>
      <i/>
      <sz val="12"/>
      <name val="Calibri"/>
      <family val="2"/>
    </font>
    <font>
      <sz val="10"/>
      <name val="Arial"/>
      <family val="2"/>
    </font>
    <font>
      <sz val="8"/>
      <name val="Lucida Sans"/>
      <family val="2"/>
    </font>
    <font>
      <sz val="9"/>
      <name val="Lucida Sans"/>
      <family val="2"/>
    </font>
    <font>
      <sz val="9"/>
      <color theme="1"/>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8"/>
      <color theme="1"/>
      <name val="Calibri"/>
      <family val="2"/>
      <scheme val="minor"/>
    </font>
    <font>
      <i/>
      <sz val="11"/>
      <color theme="1"/>
      <name val="Calibri"/>
      <family val="2"/>
      <scheme val="minor"/>
    </font>
    <font>
      <i/>
      <sz val="9"/>
      <color theme="1"/>
      <name val="Calibri"/>
      <family val="2"/>
      <scheme val="minor"/>
    </font>
    <font>
      <sz val="6"/>
      <name val="Arial"/>
      <family val="2"/>
    </font>
    <font>
      <b/>
      <sz val="9"/>
      <name val="Lucida Sans"/>
      <family val="2"/>
    </font>
    <font>
      <sz val="10"/>
      <name val="Verdana"/>
      <family val="2"/>
    </font>
    <font>
      <u/>
      <sz val="10"/>
      <color indexed="12"/>
      <name val="Arial"/>
      <family val="2"/>
    </font>
    <font>
      <b/>
      <sz val="10"/>
      <name val="Verdana"/>
      <family val="2"/>
    </font>
    <font>
      <b/>
      <i/>
      <sz val="9"/>
      <name val="Verdana"/>
      <family val="2"/>
    </font>
    <font>
      <b/>
      <u/>
      <sz val="10"/>
      <name val="Verdana"/>
      <family val="2"/>
    </font>
    <font>
      <sz val="8"/>
      <name val="Verdana"/>
      <family val="2"/>
    </font>
    <font>
      <b/>
      <i/>
      <sz val="10"/>
      <name val="Verdana"/>
      <family val="2"/>
    </font>
    <font>
      <i/>
      <sz val="8"/>
      <name val="Verdana"/>
      <family val="2"/>
    </font>
    <font>
      <i/>
      <sz val="10"/>
      <name val="Verdana"/>
      <family val="2"/>
    </font>
    <font>
      <sz val="8"/>
      <color theme="3"/>
      <name val="Verdana"/>
      <family val="2"/>
    </font>
    <font>
      <sz val="10"/>
      <color indexed="8"/>
      <name val="Arial"/>
      <family val="2"/>
    </font>
    <font>
      <sz val="10"/>
      <color theme="3"/>
      <name val="Verdana"/>
      <family val="2"/>
    </font>
    <font>
      <b/>
      <u/>
      <sz val="10"/>
      <color theme="3"/>
      <name val="Verdana"/>
      <family val="2"/>
    </font>
    <font>
      <b/>
      <sz val="12"/>
      <name val="Verdana"/>
      <family val="2"/>
    </font>
    <font>
      <sz val="9"/>
      <name val="Verdana"/>
      <family val="2"/>
    </font>
    <font>
      <b/>
      <sz val="8"/>
      <name val="Verdana"/>
      <family val="2"/>
    </font>
    <font>
      <vertAlign val="superscript"/>
      <sz val="8"/>
      <name val="Verdana"/>
      <family val="2"/>
    </font>
    <font>
      <vertAlign val="subscript"/>
      <sz val="8"/>
      <name val="Verdana"/>
      <family val="2"/>
    </font>
    <font>
      <u/>
      <sz val="8"/>
      <color indexed="12"/>
      <name val="Verdana"/>
      <family val="2"/>
    </font>
    <font>
      <sz val="6"/>
      <name val="Verdana"/>
      <family val="2"/>
    </font>
    <font>
      <sz val="8"/>
      <color indexed="81"/>
      <name val="Verdana"/>
      <family val="2"/>
    </font>
    <font>
      <b/>
      <sz val="8"/>
      <color indexed="81"/>
      <name val="Verdana"/>
      <family val="2"/>
    </font>
    <font>
      <b/>
      <sz val="8"/>
      <color indexed="9"/>
      <name val="Verdana"/>
      <family val="2"/>
    </font>
    <font>
      <sz val="8"/>
      <color indexed="9"/>
      <name val="Verdana"/>
      <family val="2"/>
    </font>
    <font>
      <sz val="8"/>
      <color indexed="81"/>
      <name val="Tahoma"/>
      <family val="2"/>
    </font>
    <font>
      <b/>
      <sz val="8"/>
      <color indexed="8"/>
      <name val="Verdana"/>
      <family val="2"/>
    </font>
    <font>
      <sz val="8"/>
      <color indexed="8"/>
      <name val="Verdana"/>
      <family val="2"/>
    </font>
    <font>
      <vertAlign val="subscript"/>
      <sz val="8"/>
      <color indexed="8"/>
      <name val="Verdana"/>
      <family val="2"/>
    </font>
    <font>
      <sz val="10"/>
      <name val="Arial"/>
      <family val="2"/>
    </font>
    <font>
      <b/>
      <sz val="9"/>
      <name val="Verdana"/>
      <family val="2"/>
    </font>
    <font>
      <sz val="16"/>
      <name val="Verdana"/>
      <family val="2"/>
    </font>
    <font>
      <sz val="12"/>
      <name val="Palatino"/>
    </font>
    <font>
      <b/>
      <sz val="12"/>
      <color theme="1" tint="0.249977111117893"/>
      <name val="Calibri"/>
      <family val="2"/>
    </font>
    <font>
      <b/>
      <sz val="12"/>
      <color theme="1" tint="0.34998626667073579"/>
      <name val="Calibri"/>
      <family val="2"/>
    </font>
    <font>
      <sz val="8"/>
      <color theme="1"/>
      <name val="Calibri"/>
      <family val="2"/>
    </font>
    <font>
      <b/>
      <sz val="8"/>
      <color theme="1"/>
      <name val="Calibri"/>
      <family val="2"/>
    </font>
    <font>
      <u/>
      <sz val="10"/>
      <color theme="10"/>
      <name val="Arial"/>
      <family val="2"/>
    </font>
    <font>
      <sz val="8"/>
      <color rgb="FFFF0000"/>
      <name val="Verdana"/>
      <family val="2"/>
    </font>
    <font>
      <u/>
      <sz val="8"/>
      <color theme="10"/>
      <name val="Verdana"/>
      <family val="2"/>
    </font>
    <font>
      <sz val="8"/>
      <name val="Whitney Book"/>
      <family val="3"/>
    </font>
    <font>
      <b/>
      <vertAlign val="subscript"/>
      <sz val="8"/>
      <color indexed="8"/>
      <name val="Verdana"/>
      <family val="2"/>
    </font>
    <font>
      <sz val="9"/>
      <name val="Symbol"/>
      <family val="1"/>
      <charset val="2"/>
    </font>
    <font>
      <b/>
      <sz val="11"/>
      <color theme="1"/>
      <name val="Arial"/>
      <family val="2"/>
    </font>
    <font>
      <sz val="11"/>
      <color theme="1"/>
      <name val="Arial"/>
      <family val="2"/>
    </font>
    <font>
      <sz val="11"/>
      <color rgb="FFFFFFFF"/>
      <name val="Arial"/>
      <family val="2"/>
    </font>
    <font>
      <sz val="12"/>
      <color rgb="FFFF0000"/>
      <name val="Calibri"/>
      <family val="2"/>
      <scheme val="minor"/>
    </font>
    <font>
      <b/>
      <sz val="15"/>
      <color theme="3"/>
      <name val="Calibri"/>
      <family val="2"/>
      <scheme val="minor"/>
    </font>
    <font>
      <sz val="8"/>
      <color theme="1"/>
      <name val="Verdana"/>
      <family val="2"/>
    </font>
    <font>
      <b/>
      <sz val="8"/>
      <color indexed="63"/>
      <name val="Verdana"/>
      <family val="2"/>
    </font>
    <font>
      <sz val="11"/>
      <color rgb="FF006100"/>
      <name val="Calibri"/>
      <family val="2"/>
      <scheme val="minor"/>
    </font>
    <font>
      <sz val="11"/>
      <color rgb="FF9C5700"/>
      <name val="Calibri"/>
      <family val="2"/>
      <scheme val="minor"/>
    </font>
    <font>
      <sz val="9"/>
      <color indexed="81"/>
      <name val="Tahoma"/>
      <family val="2"/>
    </font>
    <font>
      <b/>
      <sz val="8"/>
      <color theme="1"/>
      <name val="Verdana"/>
      <family val="2"/>
    </font>
    <font>
      <sz val="8"/>
      <color theme="0" tint="-0.34998626667073579"/>
      <name val="Verdana"/>
      <family val="2"/>
    </font>
    <font>
      <b/>
      <sz val="10"/>
      <name val="Arial"/>
      <family val="2"/>
    </font>
  </fonts>
  <fills count="28">
    <fill>
      <patternFill patternType="none"/>
    </fill>
    <fill>
      <patternFill patternType="gray125"/>
    </fill>
    <fill>
      <patternFill patternType="solid">
        <fgColor rgb="FF043B61"/>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indexed="22"/>
        <bgColor indexed="64"/>
      </patternFill>
    </fill>
    <fill>
      <patternFill patternType="solid">
        <fgColor theme="9" tint="0.79998168889431442"/>
        <bgColor indexed="64"/>
      </patternFill>
    </fill>
    <fill>
      <patternFill patternType="solid">
        <fgColor rgb="FF92D050"/>
        <bgColor indexed="64"/>
      </patternFill>
    </fill>
    <fill>
      <patternFill patternType="solid">
        <fgColor indexed="9"/>
        <bgColor indexed="64"/>
      </patternFill>
    </fill>
    <fill>
      <patternFill patternType="solid">
        <fgColor indexed="26"/>
        <bgColor indexed="64"/>
      </patternFill>
    </fill>
    <fill>
      <patternFill patternType="solid">
        <fgColor theme="7" tint="0.59999389629810485"/>
        <bgColor indexed="64"/>
      </patternFill>
    </fill>
    <fill>
      <patternFill patternType="solid">
        <fgColor theme="9" tint="-0.249977111117893"/>
        <bgColor indexed="64"/>
      </patternFill>
    </fill>
    <fill>
      <patternFill patternType="gray125">
        <bgColor indexed="22"/>
      </patternFill>
    </fill>
    <fill>
      <patternFill patternType="solid">
        <fgColor indexed="14"/>
        <bgColor indexed="64"/>
      </patternFill>
    </fill>
    <fill>
      <patternFill patternType="solid">
        <fgColor indexed="53"/>
        <bgColor indexed="64"/>
      </patternFill>
    </fill>
    <fill>
      <patternFill patternType="solid">
        <fgColor rgb="FFFF00FF"/>
        <bgColor indexed="64"/>
      </patternFill>
    </fill>
    <fill>
      <patternFill patternType="solid">
        <fgColor rgb="FFFFFFCC"/>
        <bgColor indexed="64"/>
      </patternFill>
    </fill>
    <fill>
      <patternFill patternType="solid">
        <fgColor indexed="47"/>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2575AE"/>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s>
  <borders count="181">
    <border>
      <left/>
      <right/>
      <top/>
      <bottom/>
      <diagonal/>
    </border>
    <border>
      <left style="thin">
        <color theme="1" tint="0.249977111117893"/>
      </left>
      <right/>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right/>
      <top/>
      <bottom style="thin">
        <color theme="1" tint="0.249977111117893"/>
      </bottom>
      <diagonal/>
    </border>
    <border>
      <left/>
      <right/>
      <top style="thin">
        <color theme="1" tint="0.249977111117893"/>
      </top>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right/>
      <top style="thin">
        <color theme="0"/>
      </top>
      <bottom style="thin">
        <color theme="0"/>
      </bottom>
      <diagonal/>
    </border>
    <border>
      <left/>
      <right/>
      <top style="thin">
        <color theme="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theme="1" tint="0.249977111117893"/>
      </left>
      <right style="medium">
        <color indexed="64"/>
      </right>
      <top style="thin">
        <color theme="1" tint="0.249977111117893"/>
      </top>
      <bottom style="thin">
        <color theme="1" tint="0.249977111117893"/>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theme="0" tint="-4.9989318521683403E-2"/>
      </left>
      <right style="thick">
        <color theme="0" tint="-4.9989318521683403E-2"/>
      </right>
      <top style="thick">
        <color theme="0" tint="-4.9989318521683403E-2"/>
      </top>
      <bottom/>
      <diagonal/>
    </border>
    <border>
      <left/>
      <right style="thick">
        <color theme="0" tint="-4.9989318521683403E-2"/>
      </right>
      <top style="thick">
        <color theme="0" tint="-4.9989318521683403E-2"/>
      </top>
      <bottom style="thick">
        <color theme="0" tint="-4.9989318521683403E-2"/>
      </bottom>
      <diagonal/>
    </border>
    <border>
      <left style="thick">
        <color theme="0" tint="-4.9989318521683403E-2"/>
      </left>
      <right/>
      <top style="thick">
        <color theme="0" tint="-4.9989318521683403E-2"/>
      </top>
      <bottom style="thick">
        <color theme="0" tint="-4.9989318521683403E-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ck">
        <color theme="0" tint="-4.9989318521683403E-2"/>
      </left>
      <right style="thick">
        <color theme="0" tint="-4.9989318521683403E-2"/>
      </right>
      <top style="thick">
        <color theme="0" tint="-4.9989318521683403E-2"/>
      </top>
      <bottom style="thick">
        <color theme="0" tint="-4.9989318521683403E-2"/>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medium">
        <color theme="0" tint="-4.9989318521683403E-2"/>
      </top>
      <bottom style="medium">
        <color theme="0" tint="-4.9989318521683403E-2"/>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medium">
        <color indexed="64"/>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bottom/>
      <diagonal/>
    </border>
    <border>
      <left style="thin">
        <color indexed="9"/>
      </left>
      <right style="thin">
        <color indexed="9"/>
      </right>
      <top/>
      <bottom/>
      <diagonal/>
    </border>
    <border>
      <left/>
      <right style="thin">
        <color indexed="9"/>
      </right>
      <top/>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top/>
      <bottom style="thick">
        <color indexed="45"/>
      </bottom>
      <diagonal/>
    </border>
    <border>
      <left/>
      <right/>
      <top style="thick">
        <color indexed="45"/>
      </top>
      <bottom/>
      <diagonal/>
    </border>
    <border>
      <left/>
      <right/>
      <top/>
      <bottom style="thick">
        <color indexed="9"/>
      </bottom>
      <diagonal/>
    </border>
    <border>
      <left/>
      <right/>
      <top style="thick">
        <color indexed="45"/>
      </top>
      <bottom style="thick">
        <color indexed="45"/>
      </bottom>
      <diagonal/>
    </border>
    <border>
      <left/>
      <right/>
      <top style="thin">
        <color indexed="9"/>
      </top>
      <bottom/>
      <diagonal/>
    </border>
    <border>
      <left/>
      <right/>
      <top style="thick">
        <color indexed="9"/>
      </top>
      <bottom/>
      <diagonal/>
    </border>
    <border>
      <left/>
      <right/>
      <top/>
      <bottom style="thin">
        <color theme="0" tint="-4.9989318521683403E-2"/>
      </bottom>
      <diagonal/>
    </border>
    <border>
      <left/>
      <right/>
      <top/>
      <bottom style="thin">
        <color indexed="9"/>
      </bottom>
      <diagonal/>
    </border>
    <border>
      <left style="thin">
        <color indexed="45"/>
      </left>
      <right/>
      <top/>
      <bottom style="thin">
        <color indexed="45"/>
      </bottom>
      <diagonal/>
    </border>
    <border>
      <left/>
      <right/>
      <top/>
      <bottom style="thin">
        <color indexed="45"/>
      </bottom>
      <diagonal/>
    </border>
    <border>
      <left/>
      <right/>
      <top style="thin">
        <color indexed="45"/>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9"/>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indexed="64"/>
      </top>
      <bottom/>
      <diagonal/>
    </border>
    <border>
      <left style="thin">
        <color theme="0" tint="-0.249977111117893"/>
      </left>
      <right style="thin">
        <color indexed="64"/>
      </right>
      <top style="thin">
        <color indexed="64"/>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indexed="9"/>
      </right>
      <top/>
      <bottom style="thin">
        <color theme="0" tint="-0.249977111117893"/>
      </bottom>
      <diagonal/>
    </border>
    <border>
      <left style="thin">
        <color indexed="9"/>
      </left>
      <right style="thin">
        <color indexed="9"/>
      </right>
      <top/>
      <bottom style="thin">
        <color theme="0" tint="-0.249977111117893"/>
      </bottom>
      <diagonal/>
    </border>
    <border>
      <left style="thin">
        <color indexed="9"/>
      </left>
      <right style="thin">
        <color theme="0" tint="-0.249977111117893"/>
      </right>
      <top/>
      <bottom style="thin">
        <color theme="0" tint="-0.249977111117893"/>
      </bottom>
      <diagonal/>
    </border>
    <border>
      <left style="thin">
        <color theme="0"/>
      </left>
      <right style="thin">
        <color indexed="45"/>
      </right>
      <top style="thin">
        <color theme="0" tint="-0.14999847407452621"/>
      </top>
      <bottom/>
      <diagonal/>
    </border>
    <border>
      <left style="thin">
        <color indexed="45"/>
      </left>
      <right style="thin">
        <color indexed="45"/>
      </right>
      <top style="thin">
        <color theme="0" tint="-0.14999847407452621"/>
      </top>
      <bottom/>
      <diagonal/>
    </border>
    <border>
      <left style="thin">
        <color indexed="45"/>
      </left>
      <right/>
      <top style="thin">
        <color theme="0" tint="-0.14999847407452621"/>
      </top>
      <bottom/>
      <diagonal/>
    </border>
    <border>
      <left style="thin">
        <color theme="0"/>
      </left>
      <right/>
      <top style="thin">
        <color theme="0" tint="-0.14999847407452621"/>
      </top>
      <bottom style="thin">
        <color theme="0" tint="-0.14999847407452621"/>
      </bottom>
      <diagonal/>
    </border>
    <border>
      <left/>
      <right style="thin">
        <color indexed="45"/>
      </right>
      <top/>
      <bottom/>
      <diagonal/>
    </border>
    <border>
      <left style="thin">
        <color indexed="45"/>
      </left>
      <right style="thin">
        <color indexed="45"/>
      </right>
      <top/>
      <bottom/>
      <diagonal/>
    </border>
    <border>
      <left style="thin">
        <color indexed="45"/>
      </left>
      <right/>
      <top/>
      <bottom/>
      <diagonal/>
    </border>
    <border>
      <left style="thin">
        <color theme="0"/>
      </left>
      <right style="thin">
        <color indexed="45"/>
      </right>
      <top style="thin">
        <color theme="0" tint="-0.14999847407452621"/>
      </top>
      <bottom style="thin">
        <color theme="0" tint="-0.14999847407452621"/>
      </bottom>
      <diagonal/>
    </border>
    <border>
      <left style="thin">
        <color indexed="45"/>
      </left>
      <right style="thin">
        <color indexed="45"/>
      </right>
      <top style="thin">
        <color theme="0" tint="-0.14999847407452621"/>
      </top>
      <bottom style="thin">
        <color theme="0" tint="-0.14999847407452621"/>
      </bottom>
      <diagonal/>
    </border>
    <border>
      <left style="thin">
        <color indexed="45"/>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style="thin">
        <color theme="0"/>
      </left>
      <right/>
      <top style="thin">
        <color theme="0" tint="-0.14999847407452621"/>
      </top>
      <bottom/>
      <diagonal/>
    </border>
    <border>
      <left/>
      <right/>
      <top style="thin">
        <color theme="0" tint="-0.14999847407452621"/>
      </top>
      <bottom/>
      <diagonal/>
    </border>
    <border>
      <left style="thin">
        <color rgb="FF000000"/>
      </left>
      <right style="thin">
        <color theme="1"/>
      </right>
      <top style="thin">
        <color rgb="FF000000"/>
      </top>
      <bottom style="thin">
        <color theme="1"/>
      </bottom>
      <diagonal/>
    </border>
    <border>
      <left style="thin">
        <color theme="1"/>
      </left>
      <right style="thin">
        <color theme="1"/>
      </right>
      <top style="thin">
        <color rgb="FF000000"/>
      </top>
      <bottom style="thin">
        <color theme="1"/>
      </bottom>
      <diagonal/>
    </border>
    <border>
      <left style="thin">
        <color theme="1"/>
      </left>
      <right style="thin">
        <color rgb="FF000000"/>
      </right>
      <top style="thin">
        <color rgb="FF000000"/>
      </top>
      <bottom style="thin">
        <color theme="1"/>
      </bottom>
      <diagonal/>
    </border>
    <border>
      <left style="thin">
        <color rgb="FF000000"/>
      </left>
      <right/>
      <top/>
      <bottom/>
      <diagonal/>
    </border>
    <border>
      <left/>
      <right style="thin">
        <color rgb="FF000000"/>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1"/>
      </left>
      <right style="thin">
        <color theme="1"/>
      </right>
      <top/>
      <bottom style="thin">
        <color theme="1"/>
      </bottom>
      <diagonal/>
    </border>
    <border>
      <left/>
      <right style="thin">
        <color theme="0"/>
      </right>
      <top/>
      <bottom style="thin">
        <color theme="0"/>
      </bottom>
      <diagonal/>
    </border>
    <border>
      <left/>
      <right/>
      <top/>
      <bottom style="thin">
        <color theme="0"/>
      </bottom>
      <diagonal/>
    </border>
    <border>
      <left style="thin">
        <color theme="0" tint="-0.14999847407452621"/>
      </left>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medium">
        <color theme="1"/>
      </left>
      <right/>
      <top style="medium">
        <color theme="1"/>
      </top>
      <bottom style="thin">
        <color theme="1" tint="0.249977111117893"/>
      </bottom>
      <diagonal/>
    </border>
    <border>
      <left/>
      <right style="thin">
        <color theme="1" tint="0.249977111117893"/>
      </right>
      <top style="medium">
        <color theme="1"/>
      </top>
      <bottom style="thin">
        <color theme="1" tint="0.249977111117893"/>
      </bottom>
      <diagonal/>
    </border>
    <border>
      <left style="thin">
        <color theme="1" tint="0.249977111117893"/>
      </left>
      <right/>
      <top style="medium">
        <color theme="1"/>
      </top>
      <bottom style="thin">
        <color theme="1" tint="0.249977111117893"/>
      </bottom>
      <diagonal/>
    </border>
    <border>
      <left/>
      <right/>
      <top style="medium">
        <color theme="1"/>
      </top>
      <bottom style="thin">
        <color theme="1" tint="0.249977111117893"/>
      </bottom>
      <diagonal/>
    </border>
    <border>
      <left style="thin">
        <color theme="1" tint="0.249977111117893"/>
      </left>
      <right style="medium">
        <color theme="1"/>
      </right>
      <top style="medium">
        <color theme="1"/>
      </top>
      <bottom style="thin">
        <color theme="1" tint="0.249977111117893"/>
      </bottom>
      <diagonal/>
    </border>
    <border>
      <left style="medium">
        <color theme="1"/>
      </left>
      <right/>
      <top style="thin">
        <color theme="1" tint="0.249977111117893"/>
      </top>
      <bottom/>
      <diagonal/>
    </border>
    <border>
      <left/>
      <right style="medium">
        <color theme="1"/>
      </right>
      <top style="thin">
        <color theme="1" tint="0.249977111117893"/>
      </top>
      <bottom/>
      <diagonal/>
    </border>
    <border>
      <left style="medium">
        <color theme="1"/>
      </left>
      <right/>
      <top/>
      <bottom/>
      <diagonal/>
    </border>
    <border>
      <left/>
      <right style="medium">
        <color theme="1"/>
      </right>
      <top/>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top/>
      <bottom style="thin">
        <color theme="1" tint="0.249977111117893"/>
      </bottom>
      <diagonal/>
    </border>
    <border>
      <left/>
      <right style="medium">
        <color theme="1"/>
      </right>
      <top/>
      <bottom style="thin">
        <color theme="1" tint="0.249977111117893"/>
      </bottom>
      <diagonal/>
    </border>
    <border>
      <left style="thin">
        <color theme="1" tint="0.249977111117893"/>
      </left>
      <right style="medium">
        <color theme="1"/>
      </right>
      <top style="thin">
        <color theme="1" tint="0.249977111117893"/>
      </top>
      <bottom style="thin">
        <color theme="1" tint="0.249977111117893"/>
      </bottom>
      <diagonal/>
    </border>
    <border>
      <left/>
      <right style="medium">
        <color theme="1"/>
      </right>
      <top style="thin">
        <color theme="1" tint="0.249977111117893"/>
      </top>
      <bottom style="thin">
        <color theme="1" tint="0.249977111117893"/>
      </bottom>
      <diagonal/>
    </border>
    <border>
      <left style="medium">
        <color theme="1"/>
      </left>
      <right style="thin">
        <color theme="1" tint="0.249977111117893"/>
      </right>
      <top style="thin">
        <color theme="1" tint="0.249977111117893"/>
      </top>
      <bottom style="thin">
        <color theme="1" tint="0.249977111117893"/>
      </bottom>
      <diagonal/>
    </border>
    <border>
      <left style="medium">
        <color theme="1"/>
      </left>
      <right/>
      <top style="thin">
        <color theme="1" tint="0.249977111117893"/>
      </top>
      <bottom style="thin">
        <color theme="1" tint="0.249977111117893"/>
      </bottom>
      <diagonal/>
    </border>
    <border>
      <left style="medium">
        <color theme="1"/>
      </left>
      <right style="thin">
        <color theme="1" tint="0.249977111117893"/>
      </right>
      <top style="thin">
        <color theme="1" tint="0.249977111117893"/>
      </top>
      <bottom style="medium">
        <color theme="1"/>
      </bottom>
      <diagonal/>
    </border>
    <border>
      <left style="thin">
        <color theme="1" tint="0.249977111117893"/>
      </left>
      <right style="thin">
        <color theme="1" tint="0.249977111117893"/>
      </right>
      <top style="thin">
        <color theme="1" tint="0.249977111117893"/>
      </top>
      <bottom style="medium">
        <color theme="1"/>
      </bottom>
      <diagonal/>
    </border>
    <border>
      <left style="thin">
        <color theme="1" tint="0.249977111117893"/>
      </left>
      <right style="medium">
        <color theme="1"/>
      </right>
      <top style="thin">
        <color theme="1" tint="0.249977111117893"/>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bottom style="thin">
        <color theme="0" tint="-0.249977111117893"/>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right/>
      <top/>
      <bottom style="medium">
        <color rgb="FFFFFFFF"/>
      </bottom>
      <diagonal/>
    </border>
    <border>
      <left/>
      <right/>
      <top/>
      <bottom style="medium">
        <color rgb="FF2575AE"/>
      </bottom>
      <diagonal/>
    </border>
    <border>
      <left/>
      <right/>
      <top style="thick">
        <color indexed="9"/>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top/>
      <bottom style="thick">
        <color indexed="9"/>
      </bottom>
      <diagonal/>
    </border>
    <border>
      <left/>
      <right style="thin">
        <color theme="0" tint="-0.14999847407452621"/>
      </right>
      <top/>
      <bottom style="thick">
        <color indexed="9"/>
      </bottom>
      <diagonal/>
    </border>
    <border>
      <left/>
      <right style="thin">
        <color theme="0" tint="-0.14999847407452621"/>
      </right>
      <top/>
      <bottom style="thin">
        <color theme="0" tint="-0.14999847407452621"/>
      </bottom>
      <diagonal/>
    </border>
    <border>
      <left style="thin">
        <color theme="0" tint="-0.14999847407452621"/>
      </left>
      <right/>
      <top/>
      <bottom style="thin">
        <color theme="0" tint="-0.14999847407452621"/>
      </bottom>
      <diagonal/>
    </border>
    <border>
      <left/>
      <right/>
      <top style="medium">
        <color theme="0" tint="-0.14999847407452621"/>
      </top>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right/>
      <top/>
      <bottom style="medium">
        <color theme="0" tint="-0.14999847407452621"/>
      </bottom>
      <diagonal/>
    </border>
    <border>
      <left/>
      <right/>
      <top/>
      <bottom style="thick">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ck">
        <color theme="4"/>
      </bottom>
      <diagonal/>
    </border>
    <border>
      <left/>
      <right/>
      <top style="medium">
        <color rgb="FF2575AE"/>
      </top>
      <bottom style="medium">
        <color rgb="FFFFFFFF"/>
      </bottom>
      <diagonal/>
    </border>
    <border>
      <left/>
      <right/>
      <top style="medium">
        <color rgb="FF2575AE"/>
      </top>
      <bottom/>
      <diagonal/>
    </border>
    <border>
      <left style="medium">
        <color rgb="FFFFFFFF"/>
      </left>
      <right/>
      <top style="medium">
        <color rgb="FF2575AE"/>
      </top>
      <bottom/>
      <diagonal/>
    </border>
    <border>
      <left style="medium">
        <color rgb="FFFFFFFF"/>
      </left>
      <right/>
      <top/>
      <bottom style="medium">
        <color rgb="FFFFFFFF"/>
      </bottom>
      <diagonal/>
    </border>
    <border>
      <left style="medium">
        <color rgb="FFFFFFFF"/>
      </left>
      <right/>
      <top/>
      <bottom style="medium">
        <color rgb="FF2575AE"/>
      </bottom>
      <diagonal/>
    </border>
    <border>
      <left style="thin">
        <color theme="1" tint="0.249977111117893"/>
      </left>
      <right style="medium">
        <color theme="1"/>
      </right>
      <top style="thin">
        <color theme="1" tint="0.249977111117893"/>
      </top>
      <bottom/>
      <diagonal/>
    </border>
    <border>
      <left style="thin">
        <color theme="1" tint="0.249977111117893"/>
      </left>
      <right style="medium">
        <color theme="1"/>
      </right>
      <top/>
      <bottom style="thin">
        <color theme="1" tint="0.249977111117893"/>
      </bottom>
      <diagonal/>
    </border>
  </borders>
  <cellStyleXfs count="102">
    <xf numFmtId="0" fontId="0"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42" fillId="0" borderId="0"/>
    <xf numFmtId="43" fontId="37" fillId="0" borderId="0" applyFont="0" applyFill="0" applyBorder="0" applyAlignment="0" applyProtection="0"/>
    <xf numFmtId="9" fontId="37" fillId="0" borderId="0" applyFont="0" applyFill="0" applyBorder="0" applyAlignment="0" applyProtection="0"/>
    <xf numFmtId="0" fontId="45" fillId="0" borderId="0"/>
    <xf numFmtId="0" fontId="37" fillId="0" borderId="0"/>
    <xf numFmtId="44" fontId="45" fillId="0" borderId="0" applyFont="0" applyFill="0" applyBorder="0" applyAlignment="0" applyProtection="0"/>
    <xf numFmtId="0" fontId="46" fillId="0" borderId="0">
      <alignment vertical="top"/>
    </xf>
    <xf numFmtId="43" fontId="45" fillId="0" borderId="0" applyFont="0" applyFill="0" applyBorder="0" applyAlignment="0" applyProtection="0"/>
    <xf numFmtId="9" fontId="45" fillId="0" borderId="0" applyFont="0" applyFill="0" applyBorder="0" applyAlignment="0" applyProtection="0"/>
    <xf numFmtId="0" fontId="58" fillId="0" borderId="0" applyNumberFormat="0" applyFill="0" applyBorder="0" applyAlignment="0" applyProtection="0">
      <alignment vertical="top"/>
      <protection locked="0"/>
    </xf>
    <xf numFmtId="0" fontId="62" fillId="11" borderId="45">
      <alignment vertical="center"/>
    </xf>
    <xf numFmtId="0" fontId="85" fillId="0" borderId="0"/>
    <xf numFmtId="0" fontId="1" fillId="0" borderId="0"/>
    <xf numFmtId="0" fontId="45" fillId="0" borderId="0"/>
    <xf numFmtId="0" fontId="93" fillId="0" borderId="0" applyNumberFormat="0" applyFill="0" applyBorder="0" applyAlignment="0" applyProtection="0"/>
    <xf numFmtId="44" fontId="37" fillId="0" borderId="0" applyFont="0" applyFill="0" applyBorder="0" applyAlignment="0" applyProtection="0"/>
    <xf numFmtId="0" fontId="103" fillId="0" borderId="173" applyNumberFormat="0" applyFill="0" applyAlignment="0" applyProtection="0"/>
    <xf numFmtId="0" fontId="21" fillId="0" borderId="0" applyNumberFormat="0" applyFill="0" applyBorder="0" applyAlignment="0" applyProtection="0"/>
    <xf numFmtId="0" fontId="45" fillId="0" borderId="0"/>
    <xf numFmtId="0" fontId="106" fillId="26" borderId="0" applyNumberFormat="0" applyBorder="0" applyAlignment="0" applyProtection="0"/>
    <xf numFmtId="0" fontId="107" fillId="27" borderId="0" applyNumberFormat="0" applyBorder="0" applyAlignment="0" applyProtection="0"/>
  </cellStyleXfs>
  <cellXfs count="852">
    <xf numFmtId="0" fontId="0" fillId="0" borderId="0" xfId="0"/>
    <xf numFmtId="0" fontId="8" fillId="0" borderId="0" xfId="0" applyFont="1"/>
    <xf numFmtId="0" fontId="8" fillId="0" borderId="0" xfId="0" applyFont="1" applyAlignment="1">
      <alignment vertical="center"/>
    </xf>
    <xf numFmtId="0" fontId="0" fillId="0" borderId="0" xfId="0" applyAlignment="1">
      <alignment vertical="center"/>
    </xf>
    <xf numFmtId="0" fontId="12" fillId="0" borderId="0" xfId="0" applyFont="1"/>
    <xf numFmtId="0" fontId="11" fillId="0" borderId="5" xfId="0" applyFont="1" applyBorder="1"/>
    <xf numFmtId="0" fontId="13" fillId="0" borderId="0" xfId="0" applyFont="1"/>
    <xf numFmtId="0" fontId="12" fillId="0" borderId="0" xfId="0" applyFont="1" applyAlignment="1">
      <alignment vertical="top"/>
    </xf>
    <xf numFmtId="0" fontId="13" fillId="0" borderId="0" xfId="0" applyFont="1" applyAlignment="1">
      <alignment vertical="top"/>
    </xf>
    <xf numFmtId="0" fontId="14" fillId="0" borderId="0" xfId="0" applyFont="1"/>
    <xf numFmtId="0" fontId="20" fillId="3" borderId="15" xfId="0" applyFont="1" applyFill="1" applyBorder="1"/>
    <xf numFmtId="0" fontId="20" fillId="3" borderId="16" xfId="0" applyFont="1" applyFill="1" applyBorder="1"/>
    <xf numFmtId="0" fontId="12" fillId="0" borderId="0" xfId="0" applyFont="1" applyAlignment="1">
      <alignment wrapText="1"/>
    </xf>
    <xf numFmtId="0" fontId="14" fillId="0" borderId="5" xfId="0" applyFont="1" applyBorder="1" applyAlignment="1">
      <alignment wrapText="1"/>
    </xf>
    <xf numFmtId="0" fontId="9" fillId="0" borderId="0" xfId="0" applyFont="1" applyAlignment="1">
      <alignment vertical="center"/>
    </xf>
    <xf numFmtId="0" fontId="37" fillId="3" borderId="16" xfId="0" applyFont="1" applyFill="1" applyBorder="1"/>
    <xf numFmtId="0" fontId="11" fillId="0" borderId="0" xfId="0" applyFont="1"/>
    <xf numFmtId="0" fontId="14" fillId="0" borderId="5" xfId="0" applyFont="1" applyBorder="1" applyAlignment="1">
      <alignment horizontal="center" wrapText="1"/>
    </xf>
    <xf numFmtId="167" fontId="0" fillId="0" borderId="0" xfId="83" applyNumberFormat="1" applyFont="1"/>
    <xf numFmtId="2" fontId="0" fillId="0" borderId="0" xfId="0" applyNumberFormat="1"/>
    <xf numFmtId="0" fontId="0" fillId="0" borderId="0" xfId="0" quotePrefix="1" applyAlignment="1">
      <alignment horizontal="left"/>
    </xf>
    <xf numFmtId="169" fontId="0" fillId="0" borderId="0" xfId="0" applyNumberFormat="1"/>
    <xf numFmtId="0" fontId="0" fillId="3" borderId="15" xfId="0" applyFill="1" applyBorder="1"/>
    <xf numFmtId="0" fontId="0" fillId="3" borderId="16" xfId="0" applyFill="1" applyBorder="1"/>
    <xf numFmtId="0" fontId="0" fillId="4" borderId="15" xfId="0" applyFill="1" applyBorder="1"/>
    <xf numFmtId="0" fontId="18" fillId="0" borderId="8" xfId="0" applyFont="1" applyBorder="1"/>
    <xf numFmtId="0" fontId="23" fillId="0" borderId="8" xfId="0" applyFont="1" applyBorder="1"/>
    <xf numFmtId="0" fontId="23" fillId="0" borderId="10" xfId="0" applyFont="1" applyBorder="1"/>
    <xf numFmtId="0" fontId="45" fillId="0" borderId="0" xfId="84"/>
    <xf numFmtId="0" fontId="45" fillId="6" borderId="0" xfId="84" applyFill="1" applyProtection="1">
      <protection locked="0"/>
    </xf>
    <xf numFmtId="3" fontId="47" fillId="5" borderId="0" xfId="87" applyNumberFormat="1" applyFont="1" applyFill="1" applyAlignment="1">
      <alignment horizontal="left" vertical="top"/>
    </xf>
    <xf numFmtId="0" fontId="47" fillId="5" borderId="0" xfId="87" applyFont="1" applyFill="1">
      <alignment vertical="top"/>
    </xf>
    <xf numFmtId="0" fontId="48" fillId="7" borderId="26" xfId="84" applyFont="1" applyFill="1" applyBorder="1"/>
    <xf numFmtId="0" fontId="49" fillId="6" borderId="0" xfId="84" applyFont="1" applyFill="1" applyAlignment="1" applyProtection="1">
      <alignment horizontal="left" vertical="center"/>
      <protection locked="0"/>
    </xf>
    <xf numFmtId="2" fontId="49" fillId="7" borderId="26" xfId="84" applyNumberFormat="1" applyFont="1" applyFill="1" applyBorder="1" applyAlignment="1">
      <alignment horizontal="right" vertical="center"/>
    </xf>
    <xf numFmtId="0" fontId="45" fillId="5" borderId="0" xfId="84" applyFill="1" applyAlignment="1">
      <alignment wrapText="1"/>
    </xf>
    <xf numFmtId="2" fontId="47" fillId="5" borderId="0" xfId="87" applyNumberFormat="1" applyFont="1" applyFill="1" applyAlignment="1">
      <alignment horizontal="left" vertical="top"/>
    </xf>
    <xf numFmtId="3" fontId="49" fillId="7" borderId="26" xfId="84" applyNumberFormat="1" applyFont="1" applyFill="1" applyBorder="1" applyAlignment="1">
      <alignment horizontal="right" vertical="center"/>
    </xf>
    <xf numFmtId="0" fontId="50" fillId="6" borderId="0" xfId="84" applyFont="1" applyFill="1" applyAlignment="1" applyProtection="1">
      <alignment horizontal="left" vertical="center"/>
      <protection locked="0"/>
    </xf>
    <xf numFmtId="0" fontId="45" fillId="6" borderId="0" xfId="84" applyFill="1"/>
    <xf numFmtId="0" fontId="49" fillId="6" borderId="0" xfId="84" applyFont="1" applyFill="1" applyAlignment="1">
      <alignment horizontal="left" vertical="center"/>
    </xf>
    <xf numFmtId="168" fontId="47" fillId="5" borderId="0" xfId="87" applyNumberFormat="1" applyFont="1" applyFill="1" applyAlignment="1">
      <alignment horizontal="left" vertical="top"/>
    </xf>
    <xf numFmtId="168" fontId="49" fillId="7" borderId="26" xfId="84" applyNumberFormat="1" applyFont="1" applyFill="1" applyBorder="1" applyAlignment="1">
      <alignment horizontal="right" vertical="center"/>
    </xf>
    <xf numFmtId="0" fontId="49" fillId="7" borderId="26" xfId="84" applyFont="1" applyFill="1" applyBorder="1" applyAlignment="1">
      <alignment horizontal="right" vertical="center"/>
    </xf>
    <xf numFmtId="49" fontId="49" fillId="7" borderId="26" xfId="84" applyNumberFormat="1" applyFont="1" applyFill="1" applyBorder="1" applyAlignment="1">
      <alignment horizontal="right" vertical="center"/>
    </xf>
    <xf numFmtId="0" fontId="47" fillId="5" borderId="0" xfId="87" applyFont="1" applyFill="1" applyAlignment="1">
      <alignment horizontal="left" vertical="top"/>
    </xf>
    <xf numFmtId="49" fontId="47" fillId="5" borderId="0" xfId="87" applyNumberFormat="1" applyFont="1" applyFill="1" applyAlignment="1">
      <alignment horizontal="left" vertical="top"/>
    </xf>
    <xf numFmtId="1" fontId="47" fillId="5" borderId="0" xfId="87" applyNumberFormat="1" applyFont="1" applyFill="1" applyAlignment="1">
      <alignment horizontal="left" vertical="top"/>
    </xf>
    <xf numFmtId="1" fontId="49" fillId="7" borderId="26" xfId="84" applyNumberFormat="1" applyFont="1" applyFill="1" applyBorder="1" applyAlignment="1">
      <alignment horizontal="right" vertical="center"/>
    </xf>
    <xf numFmtId="0" fontId="49" fillId="7" borderId="26" xfId="84" applyFont="1" applyFill="1" applyBorder="1" applyAlignment="1">
      <alignment horizontal="left" vertical="center"/>
    </xf>
    <xf numFmtId="4" fontId="45" fillId="5" borderId="0" xfId="84" applyNumberFormat="1" applyFill="1" applyAlignment="1">
      <alignment horizontal="left"/>
    </xf>
    <xf numFmtId="0" fontId="45" fillId="5" borderId="0" xfId="84" applyFill="1"/>
    <xf numFmtId="170" fontId="47" fillId="5" borderId="0" xfId="87" applyNumberFormat="1" applyFont="1" applyFill="1" applyAlignment="1">
      <alignment horizontal="left" vertical="top"/>
    </xf>
    <xf numFmtId="0" fontId="55" fillId="6" borderId="0" xfId="84" applyFont="1" applyFill="1"/>
    <xf numFmtId="0" fontId="56" fillId="5" borderId="0" xfId="87" applyFont="1" applyFill="1" applyAlignment="1">
      <alignment horizontal="left" vertical="top"/>
    </xf>
    <xf numFmtId="0" fontId="56" fillId="5" borderId="0" xfId="87" applyFont="1" applyFill="1">
      <alignment vertical="top"/>
    </xf>
    <xf numFmtId="0" fontId="57" fillId="7" borderId="0" xfId="84" applyFont="1" applyFill="1"/>
    <xf numFmtId="0" fontId="57" fillId="0" borderId="0" xfId="84" applyFont="1"/>
    <xf numFmtId="0" fontId="57" fillId="8" borderId="0" xfId="84" applyFont="1" applyFill="1"/>
    <xf numFmtId="0" fontId="57" fillId="7" borderId="0" xfId="84" applyFont="1" applyFill="1" applyAlignment="1">
      <alignment vertical="center"/>
    </xf>
    <xf numFmtId="0" fontId="59" fillId="15" borderId="32" xfId="84" applyFont="1" applyFill="1" applyBorder="1"/>
    <xf numFmtId="0" fontId="57" fillId="12" borderId="0" xfId="84" applyFont="1" applyFill="1"/>
    <xf numFmtId="0" fontId="57" fillId="12" borderId="0" xfId="84" applyFont="1" applyFill="1" applyAlignment="1">
      <alignment horizontal="center"/>
    </xf>
    <xf numFmtId="0" fontId="62" fillId="12" borderId="0" xfId="84" applyFont="1" applyFill="1"/>
    <xf numFmtId="0" fontId="62" fillId="12" borderId="0" xfId="84" applyFont="1" applyFill="1" applyAlignment="1">
      <alignment horizontal="center"/>
    </xf>
    <xf numFmtId="0" fontId="62" fillId="12" borderId="0" xfId="84" applyFont="1" applyFill="1" applyAlignment="1">
      <alignment vertical="center"/>
    </xf>
    <xf numFmtId="0" fontId="71" fillId="12" borderId="0" xfId="84" applyFont="1" applyFill="1" applyAlignment="1">
      <alignment vertical="center"/>
    </xf>
    <xf numFmtId="0" fontId="62" fillId="6" borderId="0" xfId="84" applyFont="1" applyFill="1" applyAlignment="1">
      <alignment vertical="center"/>
    </xf>
    <xf numFmtId="0" fontId="72" fillId="12" borderId="0" xfId="84" applyFont="1" applyFill="1" applyAlignment="1">
      <alignment horizontal="center" vertical="center"/>
    </xf>
    <xf numFmtId="0" fontId="72" fillId="12" borderId="0" xfId="84" applyFont="1" applyFill="1" applyAlignment="1">
      <alignment vertical="center"/>
    </xf>
    <xf numFmtId="0" fontId="62" fillId="12" borderId="0" xfId="84" applyFont="1" applyFill="1" applyAlignment="1">
      <alignment horizontal="center" vertical="center"/>
    </xf>
    <xf numFmtId="0" fontId="62" fillId="7" borderId="0" xfId="84" applyFont="1" applyFill="1" applyAlignment="1">
      <alignment vertical="center"/>
    </xf>
    <xf numFmtId="0" fontId="70" fillId="7" borderId="0" xfId="84" applyFont="1" applyFill="1" applyAlignment="1">
      <alignment horizontal="left" vertical="center"/>
    </xf>
    <xf numFmtId="0" fontId="72" fillId="12" borderId="0" xfId="84" applyFont="1" applyFill="1" applyAlignment="1">
      <alignment horizontal="left" vertical="center"/>
    </xf>
    <xf numFmtId="0" fontId="57" fillId="12" borderId="0" xfId="84" applyFont="1" applyFill="1" applyAlignment="1">
      <alignment vertical="center"/>
    </xf>
    <xf numFmtId="0" fontId="70" fillId="12" borderId="0" xfId="84" applyFont="1" applyFill="1" applyAlignment="1">
      <alignment horizontal="left" vertical="center"/>
    </xf>
    <xf numFmtId="0" fontId="62" fillId="12" borderId="0" xfId="84" applyFont="1" applyFill="1" applyAlignment="1">
      <alignment horizontal="right" vertical="center"/>
    </xf>
    <xf numFmtId="0" fontId="62" fillId="12" borderId="0" xfId="84" applyFont="1" applyFill="1" applyAlignment="1">
      <alignment horizontal="left" vertical="center"/>
    </xf>
    <xf numFmtId="49" fontId="62" fillId="12" borderId="0" xfId="84" applyNumberFormat="1" applyFont="1" applyFill="1" applyAlignment="1">
      <alignment horizontal="left" vertical="center"/>
    </xf>
    <xf numFmtId="3" fontId="62" fillId="12" borderId="0" xfId="84" applyNumberFormat="1" applyFont="1" applyFill="1" applyAlignment="1">
      <alignment vertical="center"/>
    </xf>
    <xf numFmtId="0" fontId="59" fillId="12" borderId="0" xfId="84" applyFont="1" applyFill="1" applyAlignment="1">
      <alignment vertical="center"/>
    </xf>
    <xf numFmtId="2" fontId="62" fillId="7" borderId="0" xfId="84" applyNumberFormat="1" applyFont="1" applyFill="1" applyAlignment="1">
      <alignment vertical="center"/>
    </xf>
    <xf numFmtId="0" fontId="72" fillId="0" borderId="0" xfId="84" applyFont="1" applyAlignment="1">
      <alignment vertical="center"/>
    </xf>
    <xf numFmtId="0" fontId="47" fillId="0" borderId="0" xfId="87" applyFont="1">
      <alignment vertical="top"/>
    </xf>
    <xf numFmtId="1" fontId="14" fillId="0" borderId="5" xfId="0" applyNumberFormat="1" applyFont="1" applyBorder="1" applyAlignment="1">
      <alignment wrapText="1"/>
    </xf>
    <xf numFmtId="172" fontId="14" fillId="0" borderId="5" xfId="82" applyNumberFormat="1" applyFont="1" applyBorder="1" applyAlignment="1">
      <alignment wrapText="1"/>
    </xf>
    <xf numFmtId="0" fontId="85" fillId="0" borderId="0" xfId="92"/>
    <xf numFmtId="0" fontId="90" fillId="0" borderId="5" xfId="0" applyFont="1" applyBorder="1" applyAlignment="1">
      <alignment wrapText="1"/>
    </xf>
    <xf numFmtId="2" fontId="62" fillId="12" borderId="35" xfId="84" applyNumberFormat="1" applyFont="1" applyFill="1" applyBorder="1" applyAlignment="1">
      <alignment horizontal="center" vertical="center"/>
    </xf>
    <xf numFmtId="3" fontId="62" fillId="12" borderId="35" xfId="84" applyNumberFormat="1" applyFont="1" applyFill="1" applyBorder="1" applyAlignment="1">
      <alignment horizontal="center" vertical="center"/>
    </xf>
    <xf numFmtId="3" fontId="12" fillId="0" borderId="0" xfId="0" applyNumberFormat="1" applyFont="1"/>
    <xf numFmtId="0" fontId="11" fillId="0" borderId="0" xfId="0" applyFont="1" applyAlignment="1">
      <alignment horizontal="right" wrapText="1"/>
    </xf>
    <xf numFmtId="174" fontId="0" fillId="0" borderId="0" xfId="0" applyNumberFormat="1"/>
    <xf numFmtId="43" fontId="13" fillId="0" borderId="0" xfId="82" applyFont="1"/>
    <xf numFmtId="3" fontId="13" fillId="0" borderId="0" xfId="0" applyNumberFormat="1" applyFont="1"/>
    <xf numFmtId="0" fontId="91" fillId="0" borderId="0" xfId="0" applyFont="1" applyAlignment="1">
      <alignment wrapText="1"/>
    </xf>
    <xf numFmtId="2" fontId="12" fillId="0" borderId="0" xfId="0" applyNumberFormat="1" applyFont="1"/>
    <xf numFmtId="0" fontId="92" fillId="0" borderId="0" xfId="0" applyFont="1" applyAlignment="1">
      <alignment wrapText="1"/>
    </xf>
    <xf numFmtId="2" fontId="13" fillId="0" borderId="0" xfId="0" applyNumberFormat="1" applyFont="1"/>
    <xf numFmtId="0" fontId="43" fillId="6" borderId="0" xfId="84" applyFont="1" applyFill="1"/>
    <xf numFmtId="0" fontId="52" fillId="6" borderId="0" xfId="84" applyFont="1" applyFill="1"/>
    <xf numFmtId="0" fontId="53" fillId="6" borderId="0" xfId="84" applyFont="1" applyFill="1"/>
    <xf numFmtId="0" fontId="54" fillId="6" borderId="0" xfId="84" applyFont="1" applyFill="1"/>
    <xf numFmtId="0" fontId="53" fillId="0" borderId="0" xfId="84" applyFont="1"/>
    <xf numFmtId="0" fontId="51" fillId="6" borderId="0" xfId="84" applyFont="1" applyFill="1" applyAlignment="1">
      <alignment vertical="center"/>
    </xf>
    <xf numFmtId="0" fontId="52" fillId="6" borderId="0" xfId="84" applyFont="1" applyFill="1" applyAlignment="1">
      <alignment vertical="center"/>
    </xf>
    <xf numFmtId="0" fontId="48" fillId="6" borderId="0" xfId="84" applyFont="1" applyFill="1"/>
    <xf numFmtId="0" fontId="49" fillId="6" borderId="0" xfId="84" applyFont="1" applyFill="1" applyAlignment="1">
      <alignment horizontal="right" vertical="center"/>
    </xf>
    <xf numFmtId="175" fontId="49" fillId="7" borderId="27" xfId="84" applyNumberFormat="1" applyFont="1" applyFill="1" applyBorder="1" applyAlignment="1">
      <alignment horizontal="right" vertical="center"/>
    </xf>
    <xf numFmtId="0" fontId="51" fillId="6" borderId="20" xfId="84" applyFont="1" applyFill="1" applyBorder="1" applyAlignment="1">
      <alignment vertical="center"/>
    </xf>
    <xf numFmtId="0" fontId="50" fillId="6" borderId="0" xfId="84" applyFont="1" applyFill="1" applyAlignment="1">
      <alignment horizontal="left" vertical="center"/>
    </xf>
    <xf numFmtId="170" fontId="49" fillId="7" borderId="26" xfId="88" applyNumberFormat="1" applyFont="1" applyFill="1" applyBorder="1" applyAlignment="1">
      <alignment horizontal="right" vertical="center"/>
    </xf>
    <xf numFmtId="2" fontId="49" fillId="7" borderId="26" xfId="89" applyNumberFormat="1" applyFont="1" applyFill="1" applyBorder="1" applyAlignment="1">
      <alignment horizontal="right" vertical="center"/>
    </xf>
    <xf numFmtId="0" fontId="51" fillId="6" borderId="0" xfId="84" applyFont="1" applyFill="1" applyAlignment="1">
      <alignment horizontal="left" vertical="center"/>
    </xf>
    <xf numFmtId="4" fontId="49" fillId="7" borderId="26" xfId="88" applyNumberFormat="1" applyFont="1" applyFill="1" applyBorder="1" applyAlignment="1">
      <alignment horizontal="right" vertical="center"/>
    </xf>
    <xf numFmtId="0" fontId="49" fillId="7" borderId="26" xfId="88" applyNumberFormat="1" applyFont="1" applyFill="1" applyBorder="1" applyAlignment="1" applyProtection="1">
      <alignment horizontal="left" vertical="center"/>
      <protection locked="0"/>
    </xf>
    <xf numFmtId="172" fontId="49" fillId="7" borderId="26" xfId="88" applyNumberFormat="1" applyFont="1" applyFill="1" applyBorder="1" applyAlignment="1" applyProtection="1">
      <alignment horizontal="left" vertical="center"/>
    </xf>
    <xf numFmtId="172" fontId="49" fillId="7" borderId="26" xfId="88" applyNumberFormat="1" applyFont="1" applyFill="1" applyBorder="1" applyAlignment="1">
      <alignment horizontal="right" vertical="center"/>
    </xf>
    <xf numFmtId="172" fontId="49" fillId="7" borderId="26" xfId="88" applyNumberFormat="1" applyFont="1" applyFill="1" applyBorder="1" applyAlignment="1" applyProtection="1">
      <alignment horizontal="right" vertical="center"/>
    </xf>
    <xf numFmtId="0" fontId="49" fillId="6" borderId="0" xfId="84" applyFont="1" applyFill="1" applyAlignment="1">
      <alignment horizontal="left" vertical="center" indent="15"/>
    </xf>
    <xf numFmtId="0" fontId="57" fillId="7" borderId="0" xfId="94" applyFont="1" applyFill="1"/>
    <xf numFmtId="0" fontId="59" fillId="15" borderId="33" xfId="94" applyFont="1" applyFill="1" applyBorder="1"/>
    <xf numFmtId="0" fontId="70" fillId="15" borderId="32" xfId="94" applyFont="1" applyFill="1" applyBorder="1" applyAlignment="1">
      <alignment horizontal="left" vertical="center"/>
    </xf>
    <xf numFmtId="0" fontId="59" fillId="15" borderId="32" xfId="94" applyFont="1" applyFill="1" applyBorder="1"/>
    <xf numFmtId="0" fontId="59" fillId="15" borderId="31" xfId="94" applyFont="1" applyFill="1" applyBorder="1"/>
    <xf numFmtId="0" fontId="69" fillId="14" borderId="0" xfId="94" applyFont="1" applyFill="1" applyAlignment="1">
      <alignment vertical="center"/>
    </xf>
    <xf numFmtId="0" fontId="66" fillId="14" borderId="0" xfId="94" applyFont="1" applyFill="1" applyAlignment="1">
      <alignment horizontal="left" vertical="top" wrapText="1"/>
    </xf>
    <xf numFmtId="0" fontId="60" fillId="7" borderId="0" xfId="94" applyFont="1" applyFill="1" applyAlignment="1">
      <alignment horizontal="left" vertical="center" wrapText="1"/>
    </xf>
    <xf numFmtId="0" fontId="66" fillId="7" borderId="0" xfId="94" applyFont="1" applyFill="1" applyAlignment="1">
      <alignment horizontal="left" vertical="center" wrapText="1"/>
    </xf>
    <xf numFmtId="0" fontId="66" fillId="7" borderId="0" xfId="94" applyFont="1" applyFill="1" applyAlignment="1">
      <alignment horizontal="left" vertical="top" wrapText="1"/>
    </xf>
    <xf numFmtId="0" fontId="57" fillId="7" borderId="0" xfId="94" quotePrefix="1" applyFont="1" applyFill="1" applyAlignment="1">
      <alignment horizontal="left" vertical="center"/>
    </xf>
    <xf numFmtId="0" fontId="68" fillId="7" borderId="0" xfId="94" applyFont="1" applyFill="1" applyAlignment="1">
      <alignment horizontal="left" vertical="center"/>
    </xf>
    <xf numFmtId="0" fontId="68" fillId="7" borderId="0" xfId="94" applyFont="1" applyFill="1" applyAlignment="1">
      <alignment horizontal="left" vertical="top"/>
    </xf>
    <xf numFmtId="0" fontId="66" fillId="7" borderId="0" xfId="94" applyFont="1" applyFill="1" applyAlignment="1">
      <alignment horizontal="left" vertical="top"/>
    </xf>
    <xf numFmtId="0" fontId="57" fillId="7" borderId="0" xfId="94" applyFont="1" applyFill="1" applyAlignment="1">
      <alignment vertical="center" wrapText="1"/>
    </xf>
    <xf numFmtId="0" fontId="57" fillId="7" borderId="0" xfId="94" applyFont="1" applyFill="1" applyAlignment="1">
      <alignment vertical="top" wrapText="1"/>
    </xf>
    <xf numFmtId="0" fontId="62" fillId="7" borderId="0" xfId="94" applyFont="1" applyFill="1" applyAlignment="1">
      <alignment vertical="top" wrapText="1"/>
    </xf>
    <xf numFmtId="0" fontId="57" fillId="7" borderId="0" xfId="94" applyFont="1" applyFill="1" applyAlignment="1">
      <alignment vertical="center"/>
    </xf>
    <xf numFmtId="0" fontId="57" fillId="9" borderId="0" xfId="94" applyFont="1" applyFill="1"/>
    <xf numFmtId="0" fontId="64" fillId="7" borderId="0" xfId="94" applyFont="1" applyFill="1" applyAlignment="1">
      <alignment vertical="top" wrapText="1"/>
    </xf>
    <xf numFmtId="0" fontId="65" fillId="7" borderId="0" xfId="94" applyFont="1" applyFill="1" applyAlignment="1">
      <alignment vertical="top" wrapText="1"/>
    </xf>
    <xf numFmtId="0" fontId="63" fillId="7" borderId="0" xfId="94" applyFont="1" applyFill="1" applyAlignment="1">
      <alignment horizontal="left" vertical="center" wrapText="1"/>
    </xf>
    <xf numFmtId="0" fontId="57" fillId="7" borderId="0" xfId="94" quotePrefix="1" applyFont="1" applyFill="1" applyAlignment="1">
      <alignment horizontal="left"/>
    </xf>
    <xf numFmtId="0" fontId="62" fillId="7" borderId="0" xfId="94" quotePrefix="1" applyFont="1" applyFill="1" applyAlignment="1">
      <alignment horizontal="left"/>
    </xf>
    <xf numFmtId="0" fontId="57" fillId="7" borderId="0" xfId="94" quotePrefix="1" applyFont="1" applyFill="1" applyAlignment="1">
      <alignment horizontal="left" vertical="top"/>
    </xf>
    <xf numFmtId="0" fontId="62" fillId="7" borderId="0" xfId="94" quotePrefix="1" applyFont="1" applyFill="1" applyAlignment="1">
      <alignment horizontal="left" vertical="top"/>
    </xf>
    <xf numFmtId="0" fontId="57" fillId="7" borderId="0" xfId="94" quotePrefix="1" applyFont="1" applyFill="1" applyAlignment="1">
      <alignment vertical="center"/>
    </xf>
    <xf numFmtId="0" fontId="57" fillId="11" borderId="17" xfId="94" applyFont="1" applyFill="1" applyBorder="1" applyAlignment="1">
      <alignment vertical="center"/>
    </xf>
    <xf numFmtId="0" fontId="57" fillId="11" borderId="19" xfId="94" applyFont="1" applyFill="1" applyBorder="1" applyAlignment="1">
      <alignment vertical="center"/>
    </xf>
    <xf numFmtId="0" fontId="57" fillId="7" borderId="0" xfId="94" quotePrefix="1" applyFont="1" applyFill="1" applyAlignment="1">
      <alignment vertical="top"/>
    </xf>
    <xf numFmtId="0" fontId="61" fillId="10" borderId="0" xfId="94" applyFont="1" applyFill="1"/>
    <xf numFmtId="0" fontId="60" fillId="10" borderId="0" xfId="94" applyFont="1" applyFill="1"/>
    <xf numFmtId="0" fontId="57" fillId="10" borderId="0" xfId="94" applyFont="1" applyFill="1"/>
    <xf numFmtId="0" fontId="61" fillId="7" borderId="0" xfId="94" applyFont="1" applyFill="1"/>
    <xf numFmtId="0" fontId="60" fillId="7" borderId="0" xfId="94" applyFont="1" applyFill="1"/>
    <xf numFmtId="0" fontId="57" fillId="6" borderId="0" xfId="94" applyFont="1" applyFill="1"/>
    <xf numFmtId="0" fontId="57" fillId="7" borderId="0" xfId="94" applyFont="1" applyFill="1" applyAlignment="1">
      <alignment horizontal="left" vertical="center" wrapText="1"/>
    </xf>
    <xf numFmtId="0" fontId="93" fillId="7" borderId="0" xfId="95" applyFill="1"/>
    <xf numFmtId="0" fontId="76" fillId="12" borderId="0" xfId="84" applyFont="1" applyFill="1" applyAlignment="1">
      <alignment horizontal="left" vertical="center"/>
    </xf>
    <xf numFmtId="0" fontId="62" fillId="0" borderId="0" xfId="84" applyFont="1"/>
    <xf numFmtId="0" fontId="62" fillId="12" borderId="61" xfId="84" applyFont="1" applyFill="1" applyBorder="1" applyAlignment="1">
      <alignment vertical="center"/>
    </xf>
    <xf numFmtId="0" fontId="71" fillId="12" borderId="61" xfId="84" applyFont="1" applyFill="1" applyBorder="1" applyAlignment="1">
      <alignment vertical="center"/>
    </xf>
    <xf numFmtId="3" fontId="62" fillId="6" borderId="0" xfId="84" applyNumberFormat="1" applyFont="1" applyFill="1" applyAlignment="1">
      <alignment vertical="center"/>
    </xf>
    <xf numFmtId="9" fontId="62" fillId="12" borderId="0" xfId="84" applyNumberFormat="1" applyFont="1" applyFill="1" applyAlignment="1">
      <alignment vertical="center"/>
    </xf>
    <xf numFmtId="0" fontId="62" fillId="8" borderId="34" xfId="84" applyFont="1" applyFill="1" applyBorder="1" applyAlignment="1">
      <alignment horizontal="center" vertical="center"/>
    </xf>
    <xf numFmtId="0" fontId="70" fillId="12" borderId="0" xfId="84" applyFont="1" applyFill="1" applyAlignment="1">
      <alignment vertical="center"/>
    </xf>
    <xf numFmtId="168" fontId="72" fillId="8" borderId="34" xfId="84" applyNumberFormat="1" applyFont="1" applyFill="1" applyBorder="1" applyAlignment="1">
      <alignment horizontal="center" vertical="center"/>
    </xf>
    <xf numFmtId="0" fontId="62" fillId="12" borderId="65" xfId="84" applyFont="1" applyFill="1" applyBorder="1" applyAlignment="1">
      <alignment vertical="center"/>
    </xf>
    <xf numFmtId="0" fontId="62" fillId="12" borderId="43" xfId="84" applyFont="1" applyFill="1" applyBorder="1"/>
    <xf numFmtId="0" fontId="62" fillId="12" borderId="42" xfId="84" applyFont="1" applyFill="1" applyBorder="1"/>
    <xf numFmtId="0" fontId="62" fillId="12" borderId="41" xfId="84" applyFont="1" applyFill="1" applyBorder="1"/>
    <xf numFmtId="0" fontId="57" fillId="12" borderId="42" xfId="84" applyFont="1" applyFill="1" applyBorder="1"/>
    <xf numFmtId="0" fontId="57" fillId="12" borderId="41" xfId="84" applyFont="1" applyFill="1" applyBorder="1"/>
    <xf numFmtId="0" fontId="62" fillId="12" borderId="40" xfId="84" applyFont="1" applyFill="1" applyBorder="1"/>
    <xf numFmtId="0" fontId="62" fillId="12" borderId="39" xfId="84" applyFont="1" applyFill="1" applyBorder="1"/>
    <xf numFmtId="0" fontId="57" fillId="12" borderId="39" xfId="84" applyFont="1" applyFill="1" applyBorder="1"/>
    <xf numFmtId="0" fontId="57" fillId="12" borderId="40" xfId="84" applyFont="1" applyFill="1" applyBorder="1" applyAlignment="1">
      <alignment horizontal="right"/>
    </xf>
    <xf numFmtId="0" fontId="62" fillId="12" borderId="0" xfId="84" applyFont="1" applyFill="1" applyAlignment="1">
      <alignment horizontal="right"/>
    </xf>
    <xf numFmtId="2" fontId="62" fillId="12" borderId="40" xfId="84" applyNumberFormat="1" applyFont="1" applyFill="1" applyBorder="1"/>
    <xf numFmtId="2" fontId="62" fillId="12" borderId="0" xfId="84" applyNumberFormat="1" applyFont="1" applyFill="1"/>
    <xf numFmtId="0" fontId="62" fillId="12" borderId="38" xfId="84" applyFont="1" applyFill="1" applyBorder="1"/>
    <xf numFmtId="0" fontId="62" fillId="12" borderId="20" xfId="84" applyFont="1" applyFill="1" applyBorder="1"/>
    <xf numFmtId="2" fontId="62" fillId="12" borderId="20" xfId="84" applyNumberFormat="1" applyFont="1" applyFill="1" applyBorder="1"/>
    <xf numFmtId="0" fontId="62" fillId="12" borderId="37" xfId="84" applyFont="1" applyFill="1" applyBorder="1" applyAlignment="1">
      <alignment horizontal="center"/>
    </xf>
    <xf numFmtId="0" fontId="71" fillId="12" borderId="0" xfId="84" applyFont="1" applyFill="1" applyAlignment="1">
      <alignment horizontal="center" vertical="center"/>
    </xf>
    <xf numFmtId="0" fontId="62" fillId="12" borderId="66" xfId="84" applyFont="1" applyFill="1" applyBorder="1" applyAlignment="1">
      <alignment vertical="center"/>
    </xf>
    <xf numFmtId="0" fontId="71" fillId="12" borderId="66" xfId="84" applyFont="1" applyFill="1" applyBorder="1" applyAlignment="1">
      <alignment vertical="center"/>
    </xf>
    <xf numFmtId="2" fontId="62" fillId="12" borderId="67" xfId="84" applyNumberFormat="1" applyFont="1" applyFill="1" applyBorder="1" applyAlignment="1">
      <alignment vertical="center"/>
    </xf>
    <xf numFmtId="2" fontId="62" fillId="12" borderId="68" xfId="84" applyNumberFormat="1" applyFont="1" applyFill="1" applyBorder="1" applyAlignment="1">
      <alignment vertical="center"/>
    </xf>
    <xf numFmtId="4" fontId="62" fillId="12" borderId="69" xfId="84" applyNumberFormat="1" applyFont="1" applyFill="1" applyBorder="1" applyAlignment="1">
      <alignment vertical="center"/>
    </xf>
    <xf numFmtId="3" fontId="72" fillId="12" borderId="0" xfId="84" applyNumberFormat="1" applyFont="1" applyFill="1" applyAlignment="1">
      <alignment vertical="center"/>
    </xf>
    <xf numFmtId="9" fontId="71" fillId="12" borderId="0" xfId="84" applyNumberFormat="1" applyFont="1" applyFill="1" applyAlignment="1">
      <alignment vertical="center"/>
    </xf>
    <xf numFmtId="0" fontId="62" fillId="12" borderId="63" xfId="84" applyFont="1" applyFill="1" applyBorder="1" applyAlignment="1">
      <alignment vertical="center"/>
    </xf>
    <xf numFmtId="0" fontId="71" fillId="12" borderId="63" xfId="84" applyFont="1" applyFill="1" applyBorder="1" applyAlignment="1">
      <alignment vertical="center"/>
    </xf>
    <xf numFmtId="2" fontId="62" fillId="12" borderId="0" xfId="84" applyNumberFormat="1" applyFont="1" applyFill="1" applyAlignment="1">
      <alignment vertical="center"/>
    </xf>
    <xf numFmtId="3" fontId="62" fillId="12" borderId="68" xfId="84" applyNumberFormat="1" applyFont="1" applyFill="1" applyBorder="1" applyAlignment="1">
      <alignment vertical="center"/>
    </xf>
    <xf numFmtId="3" fontId="62" fillId="12" borderId="69" xfId="84" applyNumberFormat="1" applyFont="1" applyFill="1" applyBorder="1" applyAlignment="1">
      <alignment vertical="center" wrapText="1"/>
    </xf>
    <xf numFmtId="49" fontId="62" fillId="12" borderId="0" xfId="84" applyNumberFormat="1" applyFont="1" applyFill="1" applyAlignment="1">
      <alignment horizontal="right" vertical="center"/>
    </xf>
    <xf numFmtId="49" fontId="62" fillId="12" borderId="0" xfId="84" applyNumberFormat="1" applyFont="1" applyFill="1" applyAlignment="1">
      <alignment vertical="center"/>
    </xf>
    <xf numFmtId="0" fontId="62" fillId="12" borderId="0" xfId="84" applyFont="1" applyFill="1" applyAlignment="1">
      <alignment vertical="top" wrapText="1"/>
    </xf>
    <xf numFmtId="9" fontId="62" fillId="12" borderId="0" xfId="84" applyNumberFormat="1" applyFont="1" applyFill="1" applyAlignment="1">
      <alignment horizontal="left" vertical="center"/>
    </xf>
    <xf numFmtId="10" fontId="62" fillId="12" borderId="0" xfId="84" applyNumberFormat="1" applyFont="1" applyFill="1"/>
    <xf numFmtId="9" fontId="62" fillId="12" borderId="0" xfId="84" applyNumberFormat="1" applyFont="1" applyFill="1"/>
    <xf numFmtId="172" fontId="62" fillId="12" borderId="0" xfId="88" applyNumberFormat="1" applyFont="1" applyFill="1" applyProtection="1"/>
    <xf numFmtId="0" fontId="62" fillId="6" borderId="35" xfId="84" applyFont="1" applyFill="1" applyBorder="1" applyAlignment="1">
      <alignment horizontal="center" vertical="center"/>
    </xf>
    <xf numFmtId="0" fontId="62" fillId="12" borderId="35" xfId="84" applyFont="1" applyFill="1" applyBorder="1" applyAlignment="1">
      <alignment horizontal="center" vertical="center"/>
    </xf>
    <xf numFmtId="0" fontId="72" fillId="22" borderId="35" xfId="84" applyFont="1" applyFill="1" applyBorder="1" applyAlignment="1">
      <alignment horizontal="center" vertical="center" wrapText="1"/>
    </xf>
    <xf numFmtId="0" fontId="72" fillId="22" borderId="35" xfId="84" applyFont="1" applyFill="1" applyBorder="1" applyAlignment="1">
      <alignment horizontal="center" vertical="center"/>
    </xf>
    <xf numFmtId="0" fontId="83" fillId="6" borderId="44" xfId="84" applyFont="1" applyFill="1" applyBorder="1" applyAlignment="1">
      <alignment vertical="center"/>
    </xf>
    <xf numFmtId="0" fontId="83" fillId="6" borderId="44" xfId="84" applyFont="1" applyFill="1" applyBorder="1" applyAlignment="1">
      <alignment vertical="center" wrapText="1"/>
    </xf>
    <xf numFmtId="0" fontId="83" fillId="6" borderId="36" xfId="84" applyFont="1" applyFill="1" applyBorder="1" applyAlignment="1">
      <alignment vertical="center" wrapText="1"/>
    </xf>
    <xf numFmtId="3" fontId="62" fillId="13" borderId="35" xfId="84" applyNumberFormat="1" applyFont="1" applyFill="1" applyBorder="1" applyAlignment="1" applyProtection="1">
      <alignment horizontal="center" vertical="center" shrinkToFit="1"/>
      <protection locked="0"/>
    </xf>
    <xf numFmtId="3" fontId="62" fillId="12" borderId="35" xfId="84" applyNumberFormat="1" applyFont="1" applyFill="1" applyBorder="1" applyAlignment="1">
      <alignment horizontal="center" vertical="center" shrinkToFit="1"/>
    </xf>
    <xf numFmtId="0" fontId="83" fillId="6" borderId="36" xfId="84" applyFont="1" applyFill="1" applyBorder="1" applyAlignment="1">
      <alignment vertical="center"/>
    </xf>
    <xf numFmtId="0" fontId="82" fillId="6" borderId="35" xfId="84" applyFont="1" applyFill="1" applyBorder="1" applyAlignment="1">
      <alignment horizontal="left" vertical="center" wrapText="1"/>
    </xf>
    <xf numFmtId="0" fontId="82" fillId="6" borderId="35" xfId="84" applyFont="1" applyFill="1" applyBorder="1" applyAlignment="1">
      <alignment horizontal="left" vertical="center"/>
    </xf>
    <xf numFmtId="4" fontId="62" fillId="12" borderId="35" xfId="84" applyNumberFormat="1" applyFont="1" applyFill="1" applyBorder="1" applyAlignment="1">
      <alignment horizontal="center" vertical="center" shrinkToFit="1"/>
    </xf>
    <xf numFmtId="0" fontId="83" fillId="6" borderId="35" xfId="84" applyFont="1" applyFill="1" applyBorder="1" applyAlignment="1">
      <alignment horizontal="left" vertical="center"/>
    </xf>
    <xf numFmtId="0" fontId="83" fillId="6" borderId="35" xfId="84" applyFont="1" applyFill="1" applyBorder="1" applyAlignment="1">
      <alignment horizontal="center" vertical="center" wrapText="1"/>
    </xf>
    <xf numFmtId="0" fontId="83" fillId="6" borderId="35" xfId="84" quotePrefix="1" applyFont="1" applyFill="1" applyBorder="1" applyAlignment="1">
      <alignment horizontal="center" vertical="center" wrapText="1"/>
    </xf>
    <xf numFmtId="0" fontId="62" fillId="13" borderId="35" xfId="84" applyFont="1" applyFill="1" applyBorder="1" applyAlignment="1" applyProtection="1">
      <alignment horizontal="center" vertical="center" shrinkToFit="1"/>
      <protection locked="0"/>
    </xf>
    <xf numFmtId="0" fontId="62" fillId="6" borderId="35" xfId="84" applyFont="1" applyFill="1" applyBorder="1" applyAlignment="1">
      <alignment horizontal="left" vertical="center"/>
    </xf>
    <xf numFmtId="2" fontId="62" fillId="0" borderId="0" xfId="84" applyNumberFormat="1" applyFont="1"/>
    <xf numFmtId="0" fontId="62" fillId="0" borderId="53" xfId="84" applyFont="1" applyBorder="1" applyAlignment="1">
      <alignment horizontal="center" vertical="top" wrapText="1"/>
    </xf>
    <xf numFmtId="0" fontId="62" fillId="0" borderId="46" xfId="84" applyFont="1" applyBorder="1" applyAlignment="1">
      <alignment horizontal="center" vertical="top" wrapText="1"/>
    </xf>
    <xf numFmtId="2" fontId="45" fillId="17" borderId="0" xfId="84" applyNumberFormat="1" applyFill="1"/>
    <xf numFmtId="0" fontId="72" fillId="16" borderId="54" xfId="84" applyFont="1" applyFill="1" applyBorder="1" applyAlignment="1">
      <alignment horizontal="center" wrapText="1"/>
    </xf>
    <xf numFmtId="0" fontId="72" fillId="16" borderId="55" xfId="84" applyFont="1" applyFill="1" applyBorder="1" applyAlignment="1">
      <alignment horizontal="center" wrapText="1"/>
    </xf>
    <xf numFmtId="2" fontId="45" fillId="0" borderId="0" xfId="84" applyNumberFormat="1"/>
    <xf numFmtId="0" fontId="45" fillId="0" borderId="0" xfId="84" applyAlignment="1">
      <alignment horizontal="center"/>
    </xf>
    <xf numFmtId="9" fontId="45" fillId="0" borderId="0" xfId="84" applyNumberFormat="1"/>
    <xf numFmtId="0" fontId="71" fillId="0" borderId="53" xfId="84" applyFont="1" applyBorder="1" applyAlignment="1">
      <alignment horizontal="center" vertical="top" wrapText="1"/>
    </xf>
    <xf numFmtId="0" fontId="71" fillId="0" borderId="46" xfId="84" applyFont="1" applyBorder="1" applyAlignment="1">
      <alignment vertical="top" wrapText="1"/>
    </xf>
    <xf numFmtId="0" fontId="86" fillId="9" borderId="53" xfId="84" applyFont="1" applyFill="1" applyBorder="1" applyAlignment="1">
      <alignment horizontal="center" wrapText="1"/>
    </xf>
    <xf numFmtId="0" fontId="86" fillId="9" borderId="46" xfId="84" applyFont="1" applyFill="1" applyBorder="1" applyAlignment="1">
      <alignment wrapText="1"/>
    </xf>
    <xf numFmtId="0" fontId="86" fillId="9" borderId="23" xfId="84" applyFont="1" applyFill="1" applyBorder="1" applyAlignment="1">
      <alignment horizontal="center" wrapText="1"/>
    </xf>
    <xf numFmtId="0" fontId="86" fillId="9" borderId="56" xfId="84" applyFont="1" applyFill="1" applyBorder="1" applyAlignment="1">
      <alignment wrapText="1"/>
    </xf>
    <xf numFmtId="0" fontId="86" fillId="0" borderId="0" xfId="84" applyFont="1" applyAlignment="1">
      <alignment horizontal="left" indent="9"/>
    </xf>
    <xf numFmtId="0" fontId="87" fillId="0" borderId="0" xfId="84" applyFont="1" applyAlignment="1">
      <alignment horizontal="left" indent="6"/>
    </xf>
    <xf numFmtId="0" fontId="88" fillId="0" borderId="53" xfId="84" applyFont="1" applyBorder="1" applyAlignment="1">
      <alignment horizontal="center" vertical="top" wrapText="1"/>
    </xf>
    <xf numFmtId="0" fontId="71" fillId="0" borderId="0" xfId="84" applyFont="1"/>
    <xf numFmtId="0" fontId="45" fillId="18" borderId="0" xfId="84" applyFill="1"/>
    <xf numFmtId="3" fontId="71" fillId="0" borderId="53" xfId="84" applyNumberFormat="1" applyFont="1" applyBorder="1" applyAlignment="1">
      <alignment horizontal="right" wrapText="1"/>
    </xf>
    <xf numFmtId="0" fontId="86" fillId="9" borderId="46" xfId="84" applyFont="1" applyFill="1" applyBorder="1" applyAlignment="1">
      <alignment horizontal="center" wrapText="1"/>
    </xf>
    <xf numFmtId="0" fontId="86" fillId="0" borderId="0" xfId="84" applyFont="1" applyAlignment="1">
      <alignment wrapText="1"/>
    </xf>
    <xf numFmtId="0" fontId="86" fillId="0" borderId="0" xfId="84" applyFont="1" applyAlignment="1">
      <alignment horizontal="center" wrapText="1"/>
    </xf>
    <xf numFmtId="0" fontId="86" fillId="9" borderId="21" xfId="84" applyFont="1" applyFill="1" applyBorder="1" applyAlignment="1">
      <alignment horizontal="center" wrapText="1"/>
    </xf>
    <xf numFmtId="0" fontId="71" fillId="0" borderId="53" xfId="84" applyFont="1" applyBorder="1" applyAlignment="1">
      <alignment horizontal="center" wrapText="1"/>
    </xf>
    <xf numFmtId="0" fontId="86" fillId="9" borderId="31" xfId="84" applyFont="1" applyFill="1" applyBorder="1" applyAlignment="1">
      <alignment horizontal="center" vertical="top" wrapText="1"/>
    </xf>
    <xf numFmtId="0" fontId="86" fillId="9" borderId="55" xfId="84" applyFont="1" applyFill="1" applyBorder="1" applyAlignment="1">
      <alignment horizontal="center" vertical="top" wrapText="1"/>
    </xf>
    <xf numFmtId="0" fontId="71" fillId="0" borderId="53" xfId="84" applyFont="1" applyBorder="1" applyAlignment="1">
      <alignment horizontal="center"/>
    </xf>
    <xf numFmtId="0" fontId="71" fillId="0" borderId="46" xfId="84" applyFont="1" applyBorder="1" applyAlignment="1">
      <alignment wrapText="1"/>
    </xf>
    <xf numFmtId="0" fontId="86" fillId="9" borderId="31" xfId="84" applyFont="1" applyFill="1" applyBorder="1" applyAlignment="1">
      <alignment horizontal="center"/>
    </xf>
    <xf numFmtId="0" fontId="71" fillId="9" borderId="31" xfId="84" applyFont="1" applyFill="1" applyBorder="1" applyAlignment="1">
      <alignment horizontal="center"/>
    </xf>
    <xf numFmtId="0" fontId="71" fillId="9" borderId="55" xfId="84" applyFont="1" applyFill="1" applyBorder="1" applyAlignment="1">
      <alignment horizontal="center"/>
    </xf>
    <xf numFmtId="1" fontId="45" fillId="0" borderId="0" xfId="84" applyNumberFormat="1"/>
    <xf numFmtId="0" fontId="47" fillId="0" borderId="0" xfId="84" applyFont="1" applyAlignment="1">
      <alignment vertical="top"/>
    </xf>
    <xf numFmtId="0" fontId="98" fillId="0" borderId="0" xfId="84" applyFont="1" applyAlignment="1">
      <alignment horizontal="left" vertical="top" indent="6"/>
    </xf>
    <xf numFmtId="0" fontId="45" fillId="19" borderId="0" xfId="84" applyFill="1"/>
    <xf numFmtId="10" fontId="45" fillId="0" borderId="0" xfId="84" applyNumberFormat="1"/>
    <xf numFmtId="0" fontId="86" fillId="9" borderId="0" xfId="84" applyFont="1" applyFill="1" applyAlignment="1">
      <alignment wrapText="1"/>
    </xf>
    <xf numFmtId="0" fontId="71" fillId="0" borderId="55" xfId="84" applyFont="1" applyBorder="1" applyAlignment="1">
      <alignment horizontal="center" vertical="top" wrapText="1"/>
    </xf>
    <xf numFmtId="0" fontId="71" fillId="0" borderId="57" xfId="84" applyFont="1" applyBorder="1" applyAlignment="1">
      <alignment horizontal="center" vertical="top" wrapText="1"/>
    </xf>
    <xf numFmtId="2" fontId="71" fillId="0" borderId="53" xfId="84" applyNumberFormat="1" applyFont="1" applyBorder="1" applyAlignment="1">
      <alignment horizontal="center" vertical="top" wrapText="1"/>
    </xf>
    <xf numFmtId="9" fontId="86" fillId="9" borderId="55" xfId="84" applyNumberFormat="1" applyFont="1" applyFill="1" applyBorder="1" applyAlignment="1">
      <alignment horizontal="center" vertical="top" wrapText="1"/>
    </xf>
    <xf numFmtId="9" fontId="86" fillId="9" borderId="53" xfId="84" applyNumberFormat="1" applyFont="1" applyFill="1" applyBorder="1" applyAlignment="1">
      <alignment horizontal="center" vertical="top" wrapText="1"/>
    </xf>
    <xf numFmtId="10" fontId="86" fillId="9" borderId="53" xfId="84" applyNumberFormat="1" applyFont="1" applyFill="1" applyBorder="1" applyAlignment="1">
      <alignment horizontal="center" vertical="top" wrapText="1"/>
    </xf>
    <xf numFmtId="0" fontId="14" fillId="0" borderId="5" xfId="0" applyFont="1" applyBorder="1" applyAlignment="1">
      <alignment horizontal="left" vertical="top" wrapText="1"/>
    </xf>
    <xf numFmtId="0" fontId="14" fillId="0" borderId="18" xfId="0" applyFont="1" applyBorder="1" applyAlignment="1">
      <alignment horizontal="left" vertical="top" wrapText="1"/>
    </xf>
    <xf numFmtId="0" fontId="57" fillId="22" borderId="0" xfId="84" applyFont="1" applyFill="1" applyAlignment="1">
      <alignment horizontal="center"/>
    </xf>
    <xf numFmtId="0" fontId="57" fillId="22" borderId="0" xfId="84" applyFont="1" applyFill="1"/>
    <xf numFmtId="0" fontId="62" fillId="22" borderId="0" xfId="84" applyFont="1" applyFill="1" applyAlignment="1">
      <alignment horizontal="center" vertical="center"/>
    </xf>
    <xf numFmtId="0" fontId="72" fillId="22" borderId="0" xfId="84" applyFont="1" applyFill="1" applyAlignment="1">
      <alignment horizontal="center" vertical="top"/>
    </xf>
    <xf numFmtId="0" fontId="72" fillId="22" borderId="0" xfId="84" applyFont="1" applyFill="1" applyAlignment="1">
      <alignment horizontal="center" vertical="center"/>
    </xf>
    <xf numFmtId="0" fontId="62" fillId="22" borderId="0" xfId="84" applyFont="1" applyFill="1" applyAlignment="1">
      <alignment vertical="center"/>
    </xf>
    <xf numFmtId="2" fontId="62" fillId="22" borderId="0" xfId="84" applyNumberFormat="1" applyFont="1" applyFill="1" applyAlignment="1">
      <alignment horizontal="left" vertical="top"/>
    </xf>
    <xf numFmtId="10" fontId="62" fillId="22" borderId="0" xfId="84" applyNumberFormat="1" applyFont="1" applyFill="1" applyAlignment="1">
      <alignment vertical="center"/>
    </xf>
    <xf numFmtId="4" fontId="62" fillId="13" borderId="80" xfId="84" applyNumberFormat="1" applyFont="1" applyFill="1" applyBorder="1" applyAlignment="1" applyProtection="1">
      <alignment horizontal="center" vertical="center"/>
      <protection locked="0"/>
    </xf>
    <xf numFmtId="0" fontId="62" fillId="22" borderId="43" xfId="84" applyFont="1" applyFill="1" applyBorder="1" applyAlignment="1">
      <alignment horizontal="center" vertical="center"/>
    </xf>
    <xf numFmtId="0" fontId="62" fillId="22" borderId="81" xfId="84" applyFont="1" applyFill="1" applyBorder="1" applyAlignment="1">
      <alignment horizontal="center" vertical="center"/>
    </xf>
    <xf numFmtId="0" fontId="62" fillId="22" borderId="82" xfId="84" applyFont="1" applyFill="1" applyBorder="1" applyAlignment="1">
      <alignment horizontal="center" vertical="center"/>
    </xf>
    <xf numFmtId="4" fontId="62" fillId="20" borderId="80" xfId="84" applyNumberFormat="1" applyFont="1" applyFill="1" applyBorder="1" applyAlignment="1" applyProtection="1">
      <alignment horizontal="center" vertical="center"/>
      <protection locked="0"/>
    </xf>
    <xf numFmtId="4" fontId="62" fillId="13" borderId="83" xfId="84" applyNumberFormat="1" applyFont="1" applyFill="1" applyBorder="1" applyAlignment="1" applyProtection="1">
      <alignment horizontal="center" vertical="center"/>
      <protection locked="0"/>
    </xf>
    <xf numFmtId="4" fontId="62" fillId="0" borderId="85" xfId="84" applyNumberFormat="1" applyFont="1" applyBorder="1" applyAlignment="1">
      <alignment horizontal="center" vertical="center"/>
    </xf>
    <xf numFmtId="4" fontId="62" fillId="0" borderId="86" xfId="84" applyNumberFormat="1" applyFont="1" applyBorder="1" applyAlignment="1">
      <alignment horizontal="center" vertical="center"/>
    </xf>
    <xf numFmtId="4" fontId="62" fillId="0" borderId="87" xfId="84" applyNumberFormat="1" applyFont="1" applyBorder="1" applyAlignment="1">
      <alignment horizontal="center" vertical="center"/>
    </xf>
    <xf numFmtId="0" fontId="57" fillId="22" borderId="102" xfId="84" applyFont="1" applyFill="1" applyBorder="1"/>
    <xf numFmtId="0" fontId="62" fillId="13" borderId="29" xfId="84" applyFont="1" applyFill="1" applyBorder="1" applyAlignment="1" applyProtection="1">
      <alignment vertical="center" wrapText="1" shrinkToFit="1"/>
      <protection locked="0"/>
    </xf>
    <xf numFmtId="0" fontId="10" fillId="0" borderId="0" xfId="0" applyFont="1"/>
    <xf numFmtId="0" fontId="11" fillId="0" borderId="121" xfId="0" applyFont="1" applyBorder="1" applyAlignment="1">
      <alignment vertical="center"/>
    </xf>
    <xf numFmtId="164" fontId="14" fillId="0" borderId="122" xfId="0" applyNumberFormat="1" applyFont="1" applyBorder="1" applyAlignment="1">
      <alignment horizontal="left" vertical="center" wrapText="1"/>
    </xf>
    <xf numFmtId="0" fontId="11" fillId="0" borderId="123" xfId="0" applyFont="1" applyBorder="1" applyAlignment="1">
      <alignment horizontal="left" vertical="center" wrapText="1"/>
    </xf>
    <xf numFmtId="0" fontId="14" fillId="0" borderId="124" xfId="85" applyFont="1" applyBorder="1" applyAlignment="1">
      <alignment horizontal="left" vertical="center" wrapText="1"/>
    </xf>
    <xf numFmtId="0" fontId="11" fillId="0" borderId="123" xfId="0" applyFont="1" applyBorder="1" applyAlignment="1">
      <alignment horizontal="left" vertical="center"/>
    </xf>
    <xf numFmtId="0" fontId="14" fillId="0" borderId="130" xfId="0" applyFont="1" applyBorder="1" applyAlignment="1">
      <alignment horizontal="left" vertical="top" wrapText="1"/>
    </xf>
    <xf numFmtId="0" fontId="14" fillId="0" borderId="131" xfId="0" applyFont="1" applyBorder="1" applyAlignment="1">
      <alignment horizontal="left" vertical="top" wrapText="1"/>
    </xf>
    <xf numFmtId="0" fontId="12" fillId="0" borderId="129" xfId="0" applyFont="1" applyBorder="1"/>
    <xf numFmtId="0" fontId="11" fillId="0" borderId="134" xfId="0" applyFont="1" applyBorder="1"/>
    <xf numFmtId="0" fontId="35" fillId="0" borderId="132" xfId="0" quotePrefix="1" applyFont="1" applyBorder="1" applyAlignment="1">
      <alignment horizontal="left"/>
    </xf>
    <xf numFmtId="0" fontId="8" fillId="0" borderId="129" xfId="0" applyFont="1" applyBorder="1"/>
    <xf numFmtId="165" fontId="14" fillId="0" borderId="134" xfId="85" applyNumberFormat="1" applyFont="1" applyBorder="1" applyAlignment="1">
      <alignment horizontal="right" wrapText="1"/>
    </xf>
    <xf numFmtId="0" fontId="10" fillId="0" borderId="129" xfId="0" applyFont="1" applyBorder="1"/>
    <xf numFmtId="0" fontId="38" fillId="0" borderId="137" xfId="0" quotePrefix="1" applyFont="1" applyBorder="1" applyAlignment="1">
      <alignment horizontal="left"/>
    </xf>
    <xf numFmtId="0" fontId="38" fillId="0" borderId="132" xfId="0" quotePrefix="1" applyFont="1" applyBorder="1" applyAlignment="1">
      <alignment horizontal="left"/>
    </xf>
    <xf numFmtId="0" fontId="41" fillId="0" borderId="132" xfId="0" quotePrefix="1" applyFont="1" applyBorder="1" applyAlignment="1">
      <alignment horizontal="left"/>
    </xf>
    <xf numFmtId="0" fontId="14" fillId="0" borderId="139" xfId="0" applyFont="1" applyBorder="1" applyAlignment="1">
      <alignment wrapText="1"/>
    </xf>
    <xf numFmtId="0" fontId="14" fillId="0" borderId="139" xfId="0" applyFont="1" applyBorder="1" applyAlignment="1">
      <alignment horizontal="center" wrapText="1"/>
    </xf>
    <xf numFmtId="6" fontId="90" fillId="0" borderId="5" xfId="85" applyNumberFormat="1" applyFont="1" applyBorder="1" applyAlignment="1">
      <alignment horizontal="center" vertical="top" wrapText="1"/>
    </xf>
    <xf numFmtId="165" fontId="90" fillId="0" borderId="22" xfId="85" applyNumberFormat="1" applyFont="1" applyBorder="1" applyAlignment="1">
      <alignment horizontal="right" vertical="top" wrapText="1"/>
    </xf>
    <xf numFmtId="177" fontId="45" fillId="0" borderId="0" xfId="84" applyNumberFormat="1"/>
    <xf numFmtId="178" fontId="45" fillId="0" borderId="0" xfId="84" applyNumberFormat="1"/>
    <xf numFmtId="0" fontId="62" fillId="12" borderId="80" xfId="84" applyFont="1" applyFill="1" applyBorder="1" applyAlignment="1">
      <alignment vertical="center"/>
    </xf>
    <xf numFmtId="9" fontId="62" fillId="12" borderId="80" xfId="84" applyNumberFormat="1" applyFont="1" applyFill="1" applyBorder="1" applyAlignment="1">
      <alignment vertical="center"/>
    </xf>
    <xf numFmtId="10" fontId="62" fillId="12" borderId="80" xfId="84" applyNumberFormat="1" applyFont="1" applyFill="1" applyBorder="1" applyAlignment="1">
      <alignment vertical="center"/>
    </xf>
    <xf numFmtId="0" fontId="45" fillId="0" borderId="80" xfId="84" applyBorder="1"/>
    <xf numFmtId="174" fontId="62" fillId="0" borderId="80" xfId="84" applyNumberFormat="1" applyFont="1" applyBorder="1" applyAlignment="1">
      <alignment vertical="center"/>
    </xf>
    <xf numFmtId="0" fontId="62" fillId="0" borderId="80" xfId="84" applyFont="1" applyBorder="1" applyAlignment="1">
      <alignment vertical="center"/>
    </xf>
    <xf numFmtId="0" fontId="62" fillId="12" borderId="80" xfId="84" applyFont="1" applyFill="1" applyBorder="1" applyAlignment="1">
      <alignment vertical="center" wrapText="1"/>
    </xf>
    <xf numFmtId="0" fontId="62" fillId="22" borderId="49" xfId="84" applyFont="1" applyFill="1" applyBorder="1" applyAlignment="1">
      <alignment horizontal="center" vertical="center"/>
    </xf>
    <xf numFmtId="0" fontId="62" fillId="22" borderId="48" xfId="84" applyFont="1" applyFill="1" applyBorder="1" applyAlignment="1">
      <alignment horizontal="center" vertical="center"/>
    </xf>
    <xf numFmtId="0" fontId="62" fillId="22" borderId="48" xfId="84" applyFont="1" applyFill="1" applyBorder="1" applyAlignment="1">
      <alignment vertical="center" wrapText="1"/>
    </xf>
    <xf numFmtId="0" fontId="79" fillId="23" borderId="51" xfId="84" applyFont="1" applyFill="1" applyBorder="1" applyAlignment="1">
      <alignment horizontal="center" vertical="center"/>
    </xf>
    <xf numFmtId="0" fontId="79" fillId="23" borderId="50" xfId="84" applyFont="1" applyFill="1" applyBorder="1" applyAlignment="1">
      <alignment horizontal="center" vertical="center"/>
    </xf>
    <xf numFmtId="0" fontId="79" fillId="23" borderId="48" xfId="84" applyFont="1" applyFill="1" applyBorder="1" applyAlignment="1">
      <alignment horizontal="center" vertical="center" wrapText="1"/>
    </xf>
    <xf numFmtId="0" fontId="62" fillId="22" borderId="0" xfId="84" applyFont="1" applyFill="1" applyAlignment="1">
      <alignment horizontal="right" vertical="center"/>
    </xf>
    <xf numFmtId="0" fontId="62" fillId="22" borderId="0" xfId="84" applyFont="1" applyFill="1" applyAlignment="1">
      <alignment horizontal="left" vertical="center"/>
    </xf>
    <xf numFmtId="49" fontId="62" fillId="22" borderId="0" xfId="84" applyNumberFormat="1" applyFont="1" applyFill="1" applyAlignment="1">
      <alignment horizontal="left" vertical="center"/>
    </xf>
    <xf numFmtId="0" fontId="62" fillId="22" borderId="144" xfId="84" applyFont="1" applyFill="1" applyBorder="1" applyAlignment="1">
      <alignment horizontal="center" vertical="center"/>
    </xf>
    <xf numFmtId="0" fontId="62" fillId="23" borderId="0" xfId="84" applyFont="1" applyFill="1" applyAlignment="1">
      <alignment vertical="center"/>
    </xf>
    <xf numFmtId="0" fontId="62" fillId="23" borderId="0" xfId="84" applyFont="1" applyFill="1" applyAlignment="1">
      <alignment horizontal="right" vertical="center"/>
    </xf>
    <xf numFmtId="0" fontId="79" fillId="23" borderId="0" xfId="84" applyFont="1" applyFill="1" applyAlignment="1">
      <alignment vertical="center"/>
    </xf>
    <xf numFmtId="0" fontId="99" fillId="0" borderId="0" xfId="0" applyFont="1" applyAlignment="1">
      <alignment vertical="center"/>
    </xf>
    <xf numFmtId="9" fontId="101" fillId="24" borderId="0" xfId="0" applyNumberFormat="1" applyFont="1" applyFill="1" applyAlignment="1">
      <alignment vertical="center" wrapText="1"/>
    </xf>
    <xf numFmtId="0" fontId="100" fillId="0" borderId="151" xfId="0" applyFont="1" applyBorder="1" applyAlignment="1">
      <alignment vertical="center" wrapText="1"/>
    </xf>
    <xf numFmtId="0" fontId="45" fillId="0" borderId="84" xfId="84" applyBorder="1"/>
    <xf numFmtId="0" fontId="62" fillId="0" borderId="84" xfId="84" applyFont="1" applyBorder="1" applyAlignment="1">
      <alignment vertical="center"/>
    </xf>
    <xf numFmtId="2" fontId="62" fillId="22" borderId="0" xfId="84" applyNumberFormat="1" applyFont="1" applyFill="1" applyAlignment="1">
      <alignment horizontal="left" vertical="center"/>
    </xf>
    <xf numFmtId="2" fontId="62" fillId="22" borderId="0" xfId="84" applyNumberFormat="1" applyFont="1" applyFill="1" applyAlignment="1">
      <alignment vertical="center"/>
    </xf>
    <xf numFmtId="0" fontId="62" fillId="22" borderId="61" xfId="84" applyFont="1" applyFill="1" applyBorder="1" applyAlignment="1">
      <alignment horizontal="left" vertical="center"/>
    </xf>
    <xf numFmtId="0" fontId="62" fillId="22" borderId="61" xfId="84" applyFont="1" applyFill="1" applyBorder="1" applyAlignment="1">
      <alignment vertical="center"/>
    </xf>
    <xf numFmtId="0" fontId="72" fillId="22" borderId="0" xfId="84" applyFont="1" applyFill="1" applyAlignment="1">
      <alignment vertical="center" wrapText="1"/>
    </xf>
    <xf numFmtId="3" fontId="62" fillId="0" borderId="0" xfId="84" applyNumberFormat="1" applyFont="1" applyAlignment="1">
      <alignment vertical="center"/>
    </xf>
    <xf numFmtId="2" fontId="62" fillId="0" borderId="0" xfId="84" applyNumberFormat="1" applyFont="1" applyAlignment="1">
      <alignment vertical="center"/>
    </xf>
    <xf numFmtId="10" fontId="62" fillId="20" borderId="0" xfId="84" applyNumberFormat="1" applyFont="1" applyFill="1" applyAlignment="1" applyProtection="1">
      <alignment horizontal="center" vertical="center"/>
      <protection locked="0"/>
    </xf>
    <xf numFmtId="172" fontId="62" fillId="20" borderId="0" xfId="82" applyNumberFormat="1" applyFont="1" applyFill="1" applyAlignment="1" applyProtection="1">
      <alignment horizontal="center" vertical="center"/>
      <protection locked="0"/>
    </xf>
    <xf numFmtId="3" fontId="62" fillId="7" borderId="0" xfId="84" applyNumberFormat="1" applyFont="1" applyFill="1" applyAlignment="1">
      <alignment vertical="center"/>
    </xf>
    <xf numFmtId="0" fontId="62" fillId="22" borderId="61" xfId="84" applyFont="1" applyFill="1" applyBorder="1" applyAlignment="1">
      <alignment horizontal="center" vertical="center"/>
    </xf>
    <xf numFmtId="0" fontId="62" fillId="22" borderId="61" xfId="84" applyFont="1" applyFill="1" applyBorder="1" applyAlignment="1">
      <alignment horizontal="right" vertical="center"/>
    </xf>
    <xf numFmtId="0" fontId="72" fillId="22" borderId="61" xfId="84" applyFont="1" applyFill="1" applyBorder="1" applyAlignment="1">
      <alignment horizontal="center" vertical="center"/>
    </xf>
    <xf numFmtId="0" fontId="62" fillId="22" borderId="70" xfId="84" applyFont="1" applyFill="1" applyBorder="1" applyAlignment="1">
      <alignment vertical="center"/>
    </xf>
    <xf numFmtId="0" fontId="62" fillId="22" borderId="66" xfId="84" applyFont="1" applyFill="1" applyBorder="1" applyAlignment="1">
      <alignment vertical="center"/>
    </xf>
    <xf numFmtId="0" fontId="62" fillId="22" borderId="61" xfId="84" applyFont="1" applyFill="1" applyBorder="1" applyAlignment="1">
      <alignment horizontal="left" vertical="center" wrapText="1"/>
    </xf>
    <xf numFmtId="49" fontId="62" fillId="22" borderId="61" xfId="84" applyNumberFormat="1" applyFont="1" applyFill="1" applyBorder="1" applyAlignment="1">
      <alignment horizontal="left" vertical="center"/>
    </xf>
    <xf numFmtId="0" fontId="72" fillId="22" borderId="0" xfId="84" applyFont="1" applyFill="1" applyAlignment="1">
      <alignment horizontal="right" vertical="center"/>
    </xf>
    <xf numFmtId="1" fontId="62" fillId="22" borderId="0" xfId="84" applyNumberFormat="1" applyFont="1" applyFill="1" applyAlignment="1">
      <alignment vertical="center"/>
    </xf>
    <xf numFmtId="49" fontId="62" fillId="22" borderId="0" xfId="84" applyNumberFormat="1" applyFont="1" applyFill="1" applyAlignment="1">
      <alignment vertical="center"/>
    </xf>
    <xf numFmtId="0" fontId="79" fillId="23" borderId="0" xfId="84" applyFont="1" applyFill="1" applyAlignment="1">
      <alignment horizontal="center" vertical="center"/>
    </xf>
    <xf numFmtId="0" fontId="62" fillId="20" borderId="98" xfId="84" applyFont="1" applyFill="1" applyBorder="1" applyAlignment="1" applyProtection="1">
      <alignment horizontal="center" vertical="center" wrapText="1"/>
      <protection locked="0"/>
    </xf>
    <xf numFmtId="0" fontId="72" fillId="22" borderId="0" xfId="84" applyFont="1" applyFill="1" applyAlignment="1">
      <alignment vertical="center"/>
    </xf>
    <xf numFmtId="0" fontId="72" fillId="22" borderId="0" xfId="84" applyFont="1" applyFill="1" applyAlignment="1">
      <alignment horizontal="left" vertical="center"/>
    </xf>
    <xf numFmtId="49" fontId="62" fillId="22" borderId="0" xfId="84" applyNumberFormat="1" applyFont="1" applyFill="1" applyAlignment="1">
      <alignment horizontal="right" vertical="center"/>
    </xf>
    <xf numFmtId="0" fontId="94" fillId="22" borderId="0" xfId="84" applyFont="1" applyFill="1" applyAlignment="1">
      <alignment vertical="center"/>
    </xf>
    <xf numFmtId="0" fontId="57" fillId="22" borderId="0" xfId="84" applyFont="1" applyFill="1" applyAlignment="1">
      <alignment vertical="center"/>
    </xf>
    <xf numFmtId="0" fontId="72" fillId="22" borderId="0" xfId="84" applyFont="1" applyFill="1"/>
    <xf numFmtId="0" fontId="72" fillId="22" borderId="152" xfId="84" applyFont="1" applyFill="1" applyBorder="1" applyAlignment="1">
      <alignment vertical="center"/>
    </xf>
    <xf numFmtId="0" fontId="62" fillId="22" borderId="154" xfId="84" applyFont="1" applyFill="1" applyBorder="1" applyAlignment="1">
      <alignment vertical="center"/>
    </xf>
    <xf numFmtId="0" fontId="62" fillId="22" borderId="120" xfId="84" applyFont="1" applyFill="1" applyBorder="1" applyAlignment="1">
      <alignment vertical="center"/>
    </xf>
    <xf numFmtId="0" fontId="62" fillId="22" borderId="155" xfId="84" applyFont="1" applyFill="1" applyBorder="1" applyAlignment="1">
      <alignment horizontal="right" vertical="center"/>
    </xf>
    <xf numFmtId="0" fontId="62" fillId="22" borderId="156" xfId="84" applyFont="1" applyFill="1" applyBorder="1" applyAlignment="1">
      <alignment vertical="center"/>
    </xf>
    <xf numFmtId="0" fontId="72" fillId="22" borderId="119" xfId="84" applyFont="1" applyFill="1" applyBorder="1" applyAlignment="1">
      <alignment horizontal="left" vertical="center"/>
    </xf>
    <xf numFmtId="0" fontId="71" fillId="22" borderId="120" xfId="84" applyFont="1" applyFill="1" applyBorder="1" applyAlignment="1">
      <alignment vertical="center"/>
    </xf>
    <xf numFmtId="9" fontId="62" fillId="22" borderId="120" xfId="84" applyNumberFormat="1" applyFont="1" applyFill="1" applyBorder="1" applyAlignment="1">
      <alignment horizontal="center" vertical="center"/>
    </xf>
    <xf numFmtId="0" fontId="62" fillId="22" borderId="120" xfId="84" applyFont="1" applyFill="1" applyBorder="1" applyAlignment="1">
      <alignment horizontal="center" vertical="center"/>
    </xf>
    <xf numFmtId="0" fontId="62" fillId="22" borderId="99" xfId="84" applyFont="1" applyFill="1" applyBorder="1" applyAlignment="1">
      <alignment vertical="center"/>
    </xf>
    <xf numFmtId="0" fontId="62" fillId="22" borderId="157" xfId="84" applyFont="1" applyFill="1" applyBorder="1" applyAlignment="1">
      <alignment horizontal="center" vertical="center"/>
    </xf>
    <xf numFmtId="0" fontId="62" fillId="22" borderId="100" xfId="84" applyFont="1" applyFill="1" applyBorder="1" applyAlignment="1">
      <alignment vertical="center"/>
    </xf>
    <xf numFmtId="49" fontId="62" fillId="22" borderId="99" xfId="84" applyNumberFormat="1" applyFont="1" applyFill="1" applyBorder="1" applyAlignment="1">
      <alignment horizontal="right" vertical="center"/>
    </xf>
    <xf numFmtId="0" fontId="57" fillId="12" borderId="20" xfId="84" applyFont="1" applyFill="1" applyBorder="1"/>
    <xf numFmtId="3" fontId="57" fillId="12" borderId="0" xfId="84" applyNumberFormat="1" applyFont="1" applyFill="1"/>
    <xf numFmtId="0" fontId="57" fillId="12" borderId="37" xfId="84" applyFont="1" applyFill="1" applyBorder="1"/>
    <xf numFmtId="0" fontId="62" fillId="0" borderId="0" xfId="84" applyFont="1" applyAlignment="1">
      <alignment horizontal="left" vertical="center"/>
    </xf>
    <xf numFmtId="2" fontId="62" fillId="0" borderId="0" xfId="84" applyNumberFormat="1" applyFont="1" applyAlignment="1">
      <alignment horizontal="right" vertical="center"/>
    </xf>
    <xf numFmtId="172" fontId="62" fillId="0" borderId="0" xfId="82" applyNumberFormat="1" applyFont="1" applyFill="1" applyAlignment="1">
      <alignment horizontal="left" vertical="center"/>
    </xf>
    <xf numFmtId="0" fontId="62" fillId="22" borderId="162" xfId="84" applyFont="1" applyFill="1" applyBorder="1" applyAlignment="1">
      <alignment horizontal="center" vertical="center"/>
    </xf>
    <xf numFmtId="0" fontId="62" fillId="22" borderId="162" xfId="84" applyFont="1" applyFill="1" applyBorder="1" applyAlignment="1">
      <alignment horizontal="left" vertical="center"/>
    </xf>
    <xf numFmtId="0" fontId="62" fillId="22" borderId="162" xfId="84" applyFont="1" applyFill="1" applyBorder="1" applyAlignment="1">
      <alignment horizontal="right" vertical="center"/>
    </xf>
    <xf numFmtId="0" fontId="95" fillId="11" borderId="0" xfId="95" applyFont="1" applyFill="1" applyBorder="1" applyAlignment="1" applyProtection="1">
      <alignment horizontal="left" vertical="center"/>
    </xf>
    <xf numFmtId="0" fontId="102" fillId="3" borderId="16" xfId="0" applyFont="1" applyFill="1" applyBorder="1"/>
    <xf numFmtId="179" fontId="62" fillId="12" borderId="39" xfId="82" applyNumberFormat="1" applyFont="1" applyFill="1" applyBorder="1"/>
    <xf numFmtId="0" fontId="94" fillId="12" borderId="0" xfId="84" applyFont="1" applyFill="1" applyAlignment="1">
      <alignment vertical="center"/>
    </xf>
    <xf numFmtId="49" fontId="94" fillId="12" borderId="0" xfId="82" applyNumberFormat="1" applyFont="1" applyFill="1" applyAlignment="1">
      <alignment vertical="center"/>
    </xf>
    <xf numFmtId="9" fontId="94" fillId="12" borderId="0" xfId="84" applyNumberFormat="1" applyFont="1" applyFill="1" applyAlignment="1">
      <alignment vertical="center"/>
    </xf>
    <xf numFmtId="9" fontId="0" fillId="0" borderId="0" xfId="0" applyNumberFormat="1"/>
    <xf numFmtId="1" fontId="0" fillId="0" borderId="0" xfId="0" applyNumberFormat="1"/>
    <xf numFmtId="0" fontId="45" fillId="0" borderId="0" xfId="94"/>
    <xf numFmtId="174" fontId="45" fillId="0" borderId="0" xfId="94" applyNumberFormat="1"/>
    <xf numFmtId="44" fontId="8" fillId="0" borderId="0" xfId="96" applyFont="1"/>
    <xf numFmtId="0" fontId="62" fillId="22" borderId="66" xfId="84" applyFont="1" applyFill="1" applyBorder="1" applyAlignment="1">
      <alignment horizontal="center" vertical="center"/>
    </xf>
    <xf numFmtId="0" fontId="62" fillId="22" borderId="163" xfId="84" applyFont="1" applyFill="1" applyBorder="1" applyAlignment="1">
      <alignment horizontal="center" vertical="center"/>
    </xf>
    <xf numFmtId="0" fontId="62" fillId="22" borderId="163" xfId="84" applyFont="1" applyFill="1" applyBorder="1" applyAlignment="1">
      <alignment vertical="center"/>
    </xf>
    <xf numFmtId="0" fontId="62" fillId="22" borderId="163" xfId="84" applyFont="1" applyFill="1" applyBorder="1" applyAlignment="1">
      <alignment horizontal="right" vertical="center"/>
    </xf>
    <xf numFmtId="0" fontId="72" fillId="22" borderId="163" xfId="84" applyFont="1" applyFill="1" applyBorder="1" applyAlignment="1">
      <alignment horizontal="right" vertical="center"/>
    </xf>
    <xf numFmtId="0" fontId="72" fillId="22" borderId="163" xfId="84" applyFont="1" applyFill="1" applyBorder="1" applyAlignment="1">
      <alignment horizontal="center" vertical="center"/>
    </xf>
    <xf numFmtId="2" fontId="62" fillId="22" borderId="163" xfId="84" applyNumberFormat="1" applyFont="1" applyFill="1" applyBorder="1" applyAlignment="1">
      <alignment vertical="center"/>
    </xf>
    <xf numFmtId="0" fontId="72" fillId="22" borderId="163" xfId="84" applyFont="1" applyFill="1" applyBorder="1" applyAlignment="1">
      <alignment vertical="center"/>
    </xf>
    <xf numFmtId="49" fontId="62" fillId="22" borderId="163" xfId="84" applyNumberFormat="1" applyFont="1" applyFill="1" applyBorder="1" applyAlignment="1">
      <alignment vertical="center"/>
    </xf>
    <xf numFmtId="0" fontId="62" fillId="22" borderId="165" xfId="84" applyFont="1" applyFill="1" applyBorder="1" applyAlignment="1">
      <alignment vertical="center"/>
    </xf>
    <xf numFmtId="0" fontId="62" fillId="22" borderId="166" xfId="84" applyFont="1" applyFill="1" applyBorder="1" applyAlignment="1">
      <alignment horizontal="right" vertical="center"/>
    </xf>
    <xf numFmtId="0" fontId="62" fillId="22" borderId="167" xfId="84" applyFont="1" applyFill="1" applyBorder="1" applyAlignment="1">
      <alignment vertical="center"/>
    </xf>
    <xf numFmtId="0" fontId="62" fillId="22" borderId="168" xfId="84" applyFont="1" applyFill="1" applyBorder="1" applyAlignment="1">
      <alignment vertical="center"/>
    </xf>
    <xf numFmtId="0" fontId="62" fillId="22" borderId="169" xfId="84" applyFont="1" applyFill="1" applyBorder="1" applyAlignment="1">
      <alignment vertical="center"/>
    </xf>
    <xf numFmtId="0" fontId="62" fillId="22" borderId="169" xfId="84" applyFont="1" applyFill="1" applyBorder="1" applyAlignment="1">
      <alignment horizontal="right" vertical="center"/>
    </xf>
    <xf numFmtId="0" fontId="62" fillId="22" borderId="165" xfId="84" applyFont="1" applyFill="1" applyBorder="1" applyAlignment="1">
      <alignment horizontal="center" vertical="center"/>
    </xf>
    <xf numFmtId="0" fontId="72" fillId="22" borderId="167" xfId="84" applyFont="1" applyFill="1" applyBorder="1" applyAlignment="1">
      <alignment horizontal="center" vertical="center"/>
    </xf>
    <xf numFmtId="0" fontId="79" fillId="21" borderId="164" xfId="84" applyFont="1" applyFill="1" applyBorder="1" applyAlignment="1">
      <alignment horizontal="center" vertical="center"/>
    </xf>
    <xf numFmtId="0" fontId="62" fillId="13" borderId="164" xfId="84" applyFont="1" applyFill="1" applyBorder="1" applyAlignment="1" applyProtection="1">
      <alignment horizontal="center" vertical="center" wrapText="1"/>
      <protection locked="0"/>
    </xf>
    <xf numFmtId="0" fontId="62" fillId="22" borderId="164" xfId="84" applyFont="1" applyFill="1" applyBorder="1" applyAlignment="1">
      <alignment vertical="center"/>
    </xf>
    <xf numFmtId="0" fontId="62" fillId="22" borderId="164" xfId="84" applyFont="1" applyFill="1" applyBorder="1" applyAlignment="1">
      <alignment horizontal="right" vertical="center"/>
    </xf>
    <xf numFmtId="0" fontId="71" fillId="22" borderId="0" xfId="84" applyFont="1" applyFill="1" applyAlignment="1">
      <alignment vertical="center"/>
    </xf>
    <xf numFmtId="0" fontId="62" fillId="22" borderId="63" xfId="84" applyFont="1" applyFill="1" applyBorder="1" applyAlignment="1">
      <alignment horizontal="center" vertical="center"/>
    </xf>
    <xf numFmtId="0" fontId="79" fillId="21" borderId="163" xfId="84" applyFont="1" applyFill="1" applyBorder="1" applyAlignment="1">
      <alignment horizontal="center" vertical="center"/>
    </xf>
    <xf numFmtId="0" fontId="62" fillId="13" borderId="163" xfId="84" applyFont="1" applyFill="1" applyBorder="1" applyAlignment="1" applyProtection="1">
      <alignment horizontal="center" vertical="center" wrapText="1"/>
      <protection locked="0"/>
    </xf>
    <xf numFmtId="1" fontId="62" fillId="22" borderId="163" xfId="84" applyNumberFormat="1" applyFont="1" applyFill="1" applyBorder="1" applyAlignment="1">
      <alignment vertical="center"/>
    </xf>
    <xf numFmtId="0" fontId="101" fillId="24" borderId="0" xfId="0" applyFont="1" applyFill="1" applyAlignment="1">
      <alignment vertical="center" wrapText="1"/>
    </xf>
    <xf numFmtId="0" fontId="101" fillId="24" borderId="150" xfId="0" applyFont="1" applyFill="1" applyBorder="1" applyAlignment="1">
      <alignment vertical="center" wrapText="1"/>
    </xf>
    <xf numFmtId="4" fontId="103" fillId="0" borderId="173" xfId="97" applyNumberFormat="1" applyAlignment="1"/>
    <xf numFmtId="4" fontId="49" fillId="0" borderId="0" xfId="0" applyNumberFormat="1" applyFont="1"/>
    <xf numFmtId="0" fontId="101" fillId="24" borderId="151" xfId="0" applyFont="1" applyFill="1" applyBorder="1" applyAlignment="1">
      <alignment vertical="center" wrapText="1"/>
    </xf>
    <xf numFmtId="168" fontId="100" fillId="0" borderId="151" xfId="0" applyNumberFormat="1" applyFont="1" applyBorder="1" applyAlignment="1">
      <alignment vertical="center" wrapText="1"/>
    </xf>
    <xf numFmtId="0" fontId="100" fillId="0" borderId="0" xfId="0" applyFont="1" applyAlignment="1">
      <alignment vertical="center" wrapText="1"/>
    </xf>
    <xf numFmtId="0" fontId="101" fillId="24" borderId="174" xfId="0" applyFont="1" applyFill="1" applyBorder="1" applyAlignment="1">
      <alignment vertical="center" wrapText="1"/>
    </xf>
    <xf numFmtId="1" fontId="100" fillId="0" borderId="151" xfId="0" applyNumberFormat="1" applyFont="1" applyBorder="1" applyAlignment="1">
      <alignment vertical="center" wrapText="1"/>
    </xf>
    <xf numFmtId="0" fontId="101" fillId="24" borderId="175" xfId="0" applyFont="1" applyFill="1" applyBorder="1" applyAlignment="1">
      <alignment vertical="center" wrapText="1"/>
    </xf>
    <xf numFmtId="179" fontId="100" fillId="0" borderId="151" xfId="0" applyNumberFormat="1" applyFont="1" applyBorder="1" applyAlignment="1">
      <alignment vertical="center" wrapText="1"/>
    </xf>
    <xf numFmtId="0" fontId="101" fillId="24" borderId="176" xfId="0" applyFont="1" applyFill="1" applyBorder="1" applyAlignment="1">
      <alignment vertical="center" wrapText="1"/>
    </xf>
    <xf numFmtId="0" fontId="101" fillId="24" borderId="177" xfId="0" applyFont="1" applyFill="1" applyBorder="1" applyAlignment="1">
      <alignment vertical="center" wrapText="1"/>
    </xf>
    <xf numFmtId="0" fontId="101" fillId="24" borderId="178" xfId="0" applyFont="1" applyFill="1" applyBorder="1" applyAlignment="1">
      <alignment vertical="center" wrapText="1"/>
    </xf>
    <xf numFmtId="0" fontId="104" fillId="22" borderId="0" xfId="84" applyFont="1" applyFill="1" applyAlignment="1">
      <alignment horizontal="left" vertical="center"/>
    </xf>
    <xf numFmtId="0" fontId="62" fillId="0" borderId="46" xfId="99" applyFont="1" applyBorder="1" applyAlignment="1">
      <alignment vertical="center" wrapText="1"/>
    </xf>
    <xf numFmtId="0" fontId="62" fillId="12" borderId="0" xfId="99" applyFont="1" applyFill="1" applyAlignment="1">
      <alignment vertical="center"/>
    </xf>
    <xf numFmtId="0" fontId="62" fillId="12" borderId="0" xfId="99" applyFont="1" applyFill="1" applyAlignment="1">
      <alignment horizontal="center" vertical="center" wrapText="1"/>
    </xf>
    <xf numFmtId="0" fontId="62" fillId="0" borderId="0" xfId="99" applyFont="1" applyAlignment="1">
      <alignment vertical="center"/>
    </xf>
    <xf numFmtId="0" fontId="45" fillId="6" borderId="0" xfId="99" applyFill="1"/>
    <xf numFmtId="1" fontId="14" fillId="0" borderId="6" xfId="0" applyNumberFormat="1" applyFont="1" applyBorder="1" applyAlignment="1">
      <alignment wrapText="1"/>
    </xf>
    <xf numFmtId="1" fontId="14" fillId="0" borderId="26" xfId="0" applyNumberFormat="1" applyFont="1" applyBorder="1" applyAlignment="1">
      <alignment wrapText="1"/>
    </xf>
    <xf numFmtId="165" fontId="14" fillId="0" borderId="26" xfId="85" applyNumberFormat="1" applyFont="1" applyBorder="1" applyAlignment="1">
      <alignment horizontal="right" wrapText="1"/>
    </xf>
    <xf numFmtId="49" fontId="62" fillId="12" borderId="0" xfId="82" applyNumberFormat="1" applyFont="1" applyFill="1" applyAlignment="1">
      <alignment vertical="center"/>
    </xf>
    <xf numFmtId="165" fontId="14" fillId="0" borderId="180" xfId="0" applyNumberFormat="1" applyFont="1" applyBorder="1" applyAlignment="1">
      <alignment horizontal="right" vertical="top" wrapText="1"/>
    </xf>
    <xf numFmtId="165" fontId="90" fillId="0" borderId="179" xfId="0" applyNumberFormat="1" applyFont="1" applyBorder="1" applyAlignment="1">
      <alignment horizontal="right" vertical="top" wrapText="1"/>
    </xf>
    <xf numFmtId="166" fontId="14" fillId="0" borderId="180" xfId="0" applyNumberFormat="1" applyFont="1" applyBorder="1" applyAlignment="1">
      <alignment horizontal="right" vertical="top" wrapText="1"/>
    </xf>
    <xf numFmtId="166" fontId="90" fillId="0" borderId="179" xfId="0" applyNumberFormat="1" applyFont="1" applyBorder="1" applyAlignment="1">
      <alignment horizontal="right" vertical="top" wrapText="1"/>
    </xf>
    <xf numFmtId="0" fontId="45" fillId="25" borderId="0" xfId="84" applyFill="1" applyAlignment="1">
      <alignment wrapText="1"/>
    </xf>
    <xf numFmtId="0" fontId="45" fillId="25" borderId="0" xfId="84" applyFill="1"/>
    <xf numFmtId="0" fontId="45" fillId="5" borderId="26" xfId="84" applyFill="1" applyBorder="1"/>
    <xf numFmtId="173" fontId="45" fillId="5" borderId="26" xfId="84" applyNumberFormat="1" applyFill="1" applyBorder="1"/>
    <xf numFmtId="173" fontId="45" fillId="0" borderId="0" xfId="84" applyNumberFormat="1"/>
    <xf numFmtId="0" fontId="62" fillId="12" borderId="0" xfId="0" applyFont="1" applyFill="1" applyAlignment="1">
      <alignment vertical="center"/>
    </xf>
    <xf numFmtId="0" fontId="62" fillId="12" borderId="0" xfId="0" applyFont="1" applyFill="1"/>
    <xf numFmtId="0" fontId="62" fillId="22" borderId="0" xfId="84" applyFont="1" applyFill="1" applyAlignment="1">
      <alignment horizontal="left" vertical="center" wrapText="1"/>
    </xf>
    <xf numFmtId="0" fontId="43" fillId="0" borderId="0" xfId="0" applyFont="1" applyAlignment="1">
      <alignment wrapText="1"/>
    </xf>
    <xf numFmtId="168" fontId="0" fillId="0" borderId="0" xfId="0" applyNumberFormat="1"/>
    <xf numFmtId="180" fontId="0" fillId="0" borderId="0" xfId="96" applyNumberFormat="1" applyFont="1"/>
    <xf numFmtId="180" fontId="106" fillId="26" borderId="0" xfId="100" applyNumberFormat="1"/>
    <xf numFmtId="172" fontId="107" fillId="27" borderId="0" xfId="101" applyNumberFormat="1"/>
    <xf numFmtId="167" fontId="0" fillId="5" borderId="0" xfId="83" applyNumberFormat="1" applyFont="1" applyFill="1"/>
    <xf numFmtId="171" fontId="45" fillId="0" borderId="0" xfId="84" applyNumberFormat="1"/>
    <xf numFmtId="0" fontId="62" fillId="22" borderId="0" xfId="84" applyFont="1" applyFill="1" applyAlignment="1">
      <alignment horizontal="right" vertical="center" wrapText="1"/>
    </xf>
    <xf numFmtId="9" fontId="62" fillId="22" borderId="0" xfId="83" applyFont="1" applyFill="1" applyAlignment="1">
      <alignment horizontal="center" vertical="center"/>
    </xf>
    <xf numFmtId="0" fontId="62" fillId="22" borderId="0" xfId="84" applyFont="1" applyFill="1" applyAlignment="1">
      <alignment horizontal="center" vertical="center" wrapText="1"/>
    </xf>
    <xf numFmtId="172" fontId="62" fillId="0" borderId="0" xfId="82" applyNumberFormat="1" applyFont="1" applyAlignment="1">
      <alignment vertical="center"/>
    </xf>
    <xf numFmtId="9" fontId="0" fillId="5" borderId="0" xfId="83" applyFont="1" applyFill="1"/>
    <xf numFmtId="0" fontId="43" fillId="0" borderId="0" xfId="0" applyFont="1"/>
    <xf numFmtId="0" fontId="72" fillId="22" borderId="0" xfId="84" applyFont="1" applyFill="1" applyAlignment="1">
      <alignment horizontal="left" vertical="center" wrapText="1"/>
    </xf>
    <xf numFmtId="9" fontId="62" fillId="22" borderId="0" xfId="83" applyFont="1" applyFill="1" applyAlignment="1">
      <alignment horizontal="right" vertical="center"/>
    </xf>
    <xf numFmtId="0" fontId="0" fillId="0" borderId="0" xfId="0" quotePrefix="1" applyFill="1"/>
    <xf numFmtId="0" fontId="104" fillId="0" borderId="77" xfId="0" applyFont="1" applyBorder="1" applyAlignment="1">
      <alignment vertical="top"/>
    </xf>
    <xf numFmtId="0" fontId="104" fillId="0" borderId="114" xfId="0" applyFont="1" applyBorder="1" applyAlignment="1">
      <alignment vertical="top"/>
    </xf>
    <xf numFmtId="0" fontId="104" fillId="0" borderId="78" xfId="0" applyFont="1" applyBorder="1" applyAlignment="1">
      <alignment vertical="top"/>
    </xf>
    <xf numFmtId="0" fontId="104" fillId="0" borderId="15" xfId="0" applyFont="1" applyBorder="1" applyAlignment="1">
      <alignment vertical="top"/>
    </xf>
    <xf numFmtId="0" fontId="110" fillId="0" borderId="114" xfId="0" applyFont="1" applyBorder="1" applyAlignment="1">
      <alignment vertical="top" wrapText="1"/>
    </xf>
    <xf numFmtId="0" fontId="104" fillId="0" borderId="116" xfId="0" applyFont="1" applyBorder="1" applyAlignment="1">
      <alignment vertical="top"/>
    </xf>
    <xf numFmtId="0" fontId="104" fillId="0" borderId="117" xfId="0" applyFont="1" applyBorder="1" applyAlignment="1">
      <alignment vertical="top"/>
    </xf>
    <xf numFmtId="0" fontId="104" fillId="0" borderId="0" xfId="0" applyFont="1" applyAlignment="1">
      <alignment vertical="top"/>
    </xf>
    <xf numFmtId="0" fontId="104" fillId="0" borderId="112" xfId="0" applyFont="1" applyBorder="1" applyAlignment="1">
      <alignment vertical="top"/>
    </xf>
    <xf numFmtId="0" fontId="104" fillId="0" borderId="113" xfId="0" applyFont="1" applyBorder="1" applyAlignment="1">
      <alignment vertical="top"/>
    </xf>
    <xf numFmtId="0" fontId="111" fillId="0" borderId="0" xfId="84" applyFont="1"/>
    <xf numFmtId="10" fontId="62" fillId="20" borderId="0" xfId="84" applyNumberFormat="1" applyFont="1" applyFill="1" applyAlignment="1" applyProtection="1">
      <alignment horizontal="center" vertical="center"/>
      <protection locked="0"/>
    </xf>
    <xf numFmtId="0" fontId="0" fillId="0" borderId="0" xfId="0" quotePrefix="1" applyFill="1" applyBorder="1"/>
    <xf numFmtId="0" fontId="57" fillId="7" borderId="0" xfId="94" applyFont="1" applyFill="1" applyBorder="1" applyAlignment="1">
      <alignment horizontal="left" vertical="center" wrapText="1"/>
    </xf>
    <xf numFmtId="0" fontId="59" fillId="7" borderId="0" xfId="94" applyFont="1" applyFill="1" applyBorder="1" applyAlignment="1">
      <alignment horizontal="left" vertical="center"/>
    </xf>
    <xf numFmtId="43" fontId="62" fillId="20" borderId="0" xfId="82" applyFont="1" applyFill="1" applyAlignment="1" applyProtection="1">
      <alignment horizontal="center" vertical="center"/>
      <protection locked="0"/>
    </xf>
    <xf numFmtId="0" fontId="11" fillId="0" borderId="125" xfId="0" applyFont="1" applyBorder="1" applyAlignment="1" applyProtection="1">
      <alignment horizontal="left" vertical="top"/>
      <protection locked="0"/>
    </xf>
    <xf numFmtId="0" fontId="14" fillId="0" borderId="6" xfId="0" applyFont="1" applyBorder="1" applyAlignment="1" applyProtection="1">
      <alignment wrapText="1"/>
      <protection locked="0"/>
    </xf>
    <xf numFmtId="0" fontId="14" fillId="0" borderId="26" xfId="0" applyFont="1" applyBorder="1" applyAlignment="1" applyProtection="1">
      <alignment wrapText="1"/>
      <protection locked="0"/>
    </xf>
    <xf numFmtId="0" fontId="14" fillId="0" borderId="5" xfId="0" applyFont="1" applyBorder="1" applyAlignment="1" applyProtection="1">
      <alignment wrapText="1"/>
      <protection locked="0"/>
    </xf>
    <xf numFmtId="1" fontId="14" fillId="0" borderId="5" xfId="0" applyNumberFormat="1" applyFont="1" applyBorder="1" applyAlignment="1" applyProtection="1">
      <alignment wrapText="1"/>
      <protection locked="0"/>
    </xf>
    <xf numFmtId="165" fontId="14" fillId="0" borderId="134" xfId="85" applyNumberFormat="1" applyFont="1" applyBorder="1" applyAlignment="1" applyProtection="1">
      <alignment horizontal="right" wrapText="1"/>
      <protection locked="0"/>
    </xf>
    <xf numFmtId="0" fontId="14" fillId="0" borderId="139" xfId="0" applyFont="1" applyBorder="1" applyAlignment="1" applyProtection="1">
      <alignment wrapText="1"/>
      <protection locked="0"/>
    </xf>
    <xf numFmtId="165" fontId="14" fillId="0" borderId="140" xfId="85" applyNumberFormat="1" applyFont="1" applyBorder="1" applyAlignment="1" applyProtection="1">
      <alignment horizontal="right" wrapText="1"/>
      <protection locked="0"/>
    </xf>
    <xf numFmtId="4" fontId="62" fillId="20" borderId="83" xfId="84" applyNumberFormat="1" applyFont="1" applyFill="1" applyBorder="1" applyAlignment="1" applyProtection="1">
      <alignment horizontal="center" vertical="center"/>
      <protection locked="0"/>
    </xf>
    <xf numFmtId="0" fontId="15" fillId="0" borderId="128" xfId="0" applyFont="1" applyBorder="1" applyAlignment="1">
      <alignment horizontal="left"/>
    </xf>
    <xf numFmtId="0" fontId="15" fillId="0" borderId="2" xfId="0" applyFont="1" applyBorder="1" applyAlignment="1">
      <alignment horizontal="left"/>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4" fillId="0" borderId="11" xfId="0" applyFont="1" applyBorder="1" applyAlignment="1">
      <alignment horizontal="left" vertical="top" wrapText="1"/>
    </xf>
    <xf numFmtId="0" fontId="14" fillId="0" borderId="3" xfId="0" applyFont="1" applyBorder="1" applyAlignment="1">
      <alignment horizontal="left" vertical="top" wrapText="1"/>
    </xf>
    <xf numFmtId="6" fontId="90" fillId="0" borderId="13" xfId="85" applyNumberFormat="1" applyFont="1" applyBorder="1" applyAlignment="1">
      <alignment horizontal="center" vertical="top" wrapText="1"/>
    </xf>
    <xf numFmtId="6" fontId="90" fillId="0" borderId="14" xfId="85" applyNumberFormat="1" applyFont="1" applyBorder="1" applyAlignment="1">
      <alignment horizontal="center" vertical="top" wrapText="1"/>
    </xf>
    <xf numFmtId="0" fontId="27" fillId="0" borderId="137" xfId="0" applyFont="1" applyBorder="1" applyAlignment="1">
      <alignment wrapText="1"/>
    </xf>
    <xf numFmtId="0" fontId="27" fillId="0" borderId="7" xfId="0" applyFont="1" applyBorder="1" applyAlignment="1">
      <alignment wrapText="1"/>
    </xf>
    <xf numFmtId="0" fontId="16" fillId="2" borderId="141" xfId="0" applyFont="1" applyFill="1" applyBorder="1" applyAlignment="1">
      <alignment vertical="center"/>
    </xf>
    <xf numFmtId="0" fontId="17" fillId="2" borderId="142" xfId="0" applyFont="1" applyFill="1" applyBorder="1" applyAlignment="1">
      <alignment vertical="center"/>
    </xf>
    <xf numFmtId="0" fontId="17" fillId="2" borderId="143" xfId="0" applyFont="1" applyFill="1" applyBorder="1" applyAlignment="1">
      <alignment vertical="center"/>
    </xf>
    <xf numFmtId="0" fontId="11" fillId="0" borderId="126" xfId="0" applyFont="1" applyBorder="1" applyAlignment="1">
      <alignment horizontal="left" vertical="center" wrapText="1"/>
    </xf>
    <xf numFmtId="0" fontId="11" fillId="0" borderId="12" xfId="0" applyFont="1" applyBorder="1" applyAlignment="1">
      <alignment horizontal="left" vertical="center" wrapText="1"/>
    </xf>
    <xf numFmtId="0" fontId="14" fillId="0" borderId="126" xfId="0" applyFont="1" applyBorder="1" applyAlignment="1">
      <alignment vertical="top" wrapText="1"/>
    </xf>
    <xf numFmtId="0" fontId="14" fillId="0" borderId="9" xfId="0" applyFont="1" applyBorder="1" applyAlignment="1">
      <alignment vertical="top" wrapText="1"/>
    </xf>
    <xf numFmtId="0" fontId="14" fillId="0" borderId="1" xfId="0" applyFont="1" applyBorder="1" applyAlignment="1" applyProtection="1">
      <alignment horizontal="left" vertical="top" wrapText="1"/>
      <protection locked="0"/>
    </xf>
    <xf numFmtId="0" fontId="14" fillId="0" borderId="2" xfId="0" applyFont="1" applyBorder="1" applyAlignment="1" applyProtection="1">
      <alignment horizontal="left" vertical="top" wrapText="1"/>
      <protection locked="0"/>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127" xfId="0" applyFont="1" applyBorder="1" applyAlignment="1">
      <alignment horizontal="left" vertical="center"/>
    </xf>
    <xf numFmtId="0" fontId="14" fillId="0" borderId="129" xfId="0" applyFont="1" applyBorder="1" applyAlignment="1" applyProtection="1">
      <alignment horizontal="left" vertical="top" wrapText="1"/>
      <protection locked="0"/>
    </xf>
    <xf numFmtId="0" fontId="14" fillId="0" borderId="124" xfId="85" applyFont="1" applyBorder="1" applyAlignment="1">
      <alignment horizontal="left" vertical="center" wrapText="1"/>
    </xf>
    <xf numFmtId="0" fontId="11" fillId="0" borderId="8" xfId="0" applyFont="1" applyBorder="1" applyAlignment="1">
      <alignment horizontal="left" vertical="top" wrapText="1"/>
    </xf>
    <xf numFmtId="0" fontId="11" fillId="0" borderId="133" xfId="0" applyFont="1" applyBorder="1" applyAlignment="1">
      <alignment horizontal="left" vertical="top" wrapText="1"/>
    </xf>
    <xf numFmtId="0" fontId="11" fillId="0" borderId="132" xfId="0" applyFont="1" applyBorder="1" applyAlignment="1">
      <alignment vertical="top"/>
    </xf>
    <xf numFmtId="0" fontId="11" fillId="0" borderId="8" xfId="0" applyFont="1" applyBorder="1" applyAlignment="1">
      <alignment vertical="top"/>
    </xf>
    <xf numFmtId="0" fontId="11" fillId="0" borderId="4" xfId="0" applyFont="1" applyBorder="1" applyAlignment="1">
      <alignment vertical="top"/>
    </xf>
    <xf numFmtId="0" fontId="14" fillId="0" borderId="13" xfId="0" applyFont="1" applyBorder="1" applyAlignment="1">
      <alignment horizontal="left" vertical="top" wrapText="1"/>
    </xf>
    <xf numFmtId="0" fontId="14" fillId="0" borderId="14" xfId="0" applyFont="1" applyBorder="1" applyAlignment="1">
      <alignment horizontal="left" vertical="top" wrapText="1"/>
    </xf>
    <xf numFmtId="0" fontId="14" fillId="0" borderId="12" xfId="0" applyFont="1" applyBorder="1" applyAlignment="1">
      <alignment vertical="top" wrapText="1"/>
    </xf>
    <xf numFmtId="0" fontId="14" fillId="0" borderId="128" xfId="0" applyFont="1" applyBorder="1" applyAlignment="1">
      <alignment vertical="top" wrapText="1"/>
    </xf>
    <xf numFmtId="0" fontId="14" fillId="0" borderId="0" xfId="0" applyFont="1" applyAlignment="1">
      <alignment vertical="top" wrapText="1"/>
    </xf>
    <xf numFmtId="0" fontId="14" fillId="0" borderId="2" xfId="0" applyFont="1" applyBorder="1" applyAlignment="1">
      <alignment vertical="top" wrapText="1"/>
    </xf>
    <xf numFmtId="0" fontId="14" fillId="0" borderId="132" xfId="0" applyFont="1" applyBorder="1" applyAlignment="1">
      <alignment vertical="top" wrapText="1"/>
    </xf>
    <xf numFmtId="0" fontId="14" fillId="0" borderId="8" xfId="0" applyFont="1" applyBorder="1" applyAlignment="1">
      <alignment vertical="top" wrapText="1"/>
    </xf>
    <xf numFmtId="0" fontId="14" fillId="0" borderId="4" xfId="0" applyFont="1" applyBorder="1" applyAlignment="1">
      <alignment vertical="top" wrapText="1"/>
    </xf>
    <xf numFmtId="0" fontId="14" fillId="0" borderId="5" xfId="0" applyFont="1" applyBorder="1" applyAlignment="1">
      <alignment horizontal="left" vertical="top" wrapText="1"/>
    </xf>
    <xf numFmtId="0" fontId="14" fillId="0" borderId="17" xfId="0" applyFont="1" applyBorder="1" applyAlignment="1">
      <alignment horizontal="left" vertical="top" wrapText="1"/>
    </xf>
    <xf numFmtId="0" fontId="14" fillId="0" borderId="18" xfId="0" applyFont="1" applyBorder="1" applyAlignment="1">
      <alignment horizontal="left" vertical="top" wrapText="1"/>
    </xf>
    <xf numFmtId="0" fontId="14" fillId="0" borderId="19" xfId="0" applyFont="1" applyBorder="1" applyAlignment="1">
      <alignment horizontal="left" vertical="top" wrapText="1"/>
    </xf>
    <xf numFmtId="0" fontId="19" fillId="0" borderId="126" xfId="0" applyFont="1" applyBorder="1" applyAlignment="1">
      <alignment horizontal="left" vertical="center"/>
    </xf>
    <xf numFmtId="0" fontId="19" fillId="0" borderId="9" xfId="0" applyFont="1" applyBorder="1" applyAlignment="1">
      <alignment horizontal="left" vertical="center"/>
    </xf>
    <xf numFmtId="0" fontId="11" fillId="0" borderId="20" xfId="0" applyFont="1" applyBorder="1" applyAlignment="1">
      <alignment horizontal="left"/>
    </xf>
    <xf numFmtId="0" fontId="27" fillId="0" borderId="138" xfId="0" applyFont="1" applyBorder="1" applyAlignment="1">
      <alignment wrapText="1"/>
    </xf>
    <xf numFmtId="0" fontId="27" fillId="0" borderId="139" xfId="0" applyFont="1" applyBorder="1" applyAlignment="1">
      <alignment wrapText="1"/>
    </xf>
    <xf numFmtId="0" fontId="27" fillId="0" borderId="136" xfId="0" applyFont="1" applyBorder="1"/>
    <xf numFmtId="0" fontId="27" fillId="0" borderId="5" xfId="0" applyFont="1" applyBorder="1"/>
    <xf numFmtId="0" fontId="89" fillId="0" borderId="136" xfId="0" applyFont="1" applyBorder="1"/>
    <xf numFmtId="0" fontId="89" fillId="0" borderId="5" xfId="0" applyFont="1" applyBorder="1"/>
    <xf numFmtId="0" fontId="27" fillId="0" borderId="137" xfId="0" applyFont="1" applyBorder="1"/>
    <xf numFmtId="0" fontId="27" fillId="0" borderId="7" xfId="0" applyFont="1" applyBorder="1"/>
    <xf numFmtId="0" fontId="11" fillId="0" borderId="6" xfId="0" applyFont="1" applyBorder="1" applyAlignment="1">
      <alignment horizontal="center" vertical="center" wrapText="1"/>
    </xf>
    <xf numFmtId="0" fontId="11" fillId="0" borderId="10" xfId="0" applyFont="1" applyBorder="1" applyAlignment="1">
      <alignment horizontal="center" vertical="center"/>
    </xf>
    <xf numFmtId="0" fontId="11" fillId="0" borderId="7" xfId="0" applyFont="1" applyBorder="1" applyAlignment="1">
      <alignment horizontal="center" vertical="center"/>
    </xf>
    <xf numFmtId="0" fontId="18" fillId="0" borderId="6" xfId="0" applyFont="1" applyBorder="1" applyAlignment="1">
      <alignment horizontal="center" vertical="center" wrapText="1"/>
    </xf>
    <xf numFmtId="0" fontId="18" fillId="0" borderId="135" xfId="0" applyFont="1" applyBorder="1" applyAlignment="1">
      <alignment horizontal="center" vertical="center" wrapText="1"/>
    </xf>
    <xf numFmtId="0" fontId="11" fillId="0" borderId="128" xfId="0" applyFont="1" applyBorder="1"/>
    <xf numFmtId="0" fontId="11" fillId="0" borderId="2" xfId="0" applyFont="1" applyBorder="1"/>
    <xf numFmtId="0" fontId="49" fillId="7" borderId="26" xfId="84" applyFont="1" applyFill="1" applyBorder="1" applyAlignment="1">
      <alignment horizontal="left" vertical="center" wrapText="1"/>
    </xf>
    <xf numFmtId="0" fontId="49" fillId="7" borderId="17" xfId="84" applyFont="1" applyFill="1" applyBorder="1" applyAlignment="1">
      <alignment horizontal="left" vertical="center" wrapText="1"/>
    </xf>
    <xf numFmtId="0" fontId="49" fillId="7" borderId="18" xfId="84" applyFont="1" applyFill="1" applyBorder="1" applyAlignment="1">
      <alignment horizontal="left" vertical="center" wrapText="1"/>
    </xf>
    <xf numFmtId="0" fontId="49" fillId="7" borderId="19" xfId="84" applyFont="1" applyFill="1" applyBorder="1" applyAlignment="1">
      <alignment horizontal="left" vertical="center" wrapText="1"/>
    </xf>
    <xf numFmtId="0" fontId="57" fillId="7" borderId="0" xfId="94" applyFont="1" applyFill="1" applyBorder="1" applyAlignment="1">
      <alignment horizontal="left" vertical="center" wrapText="1"/>
    </xf>
    <xf numFmtId="0" fontId="57" fillId="7" borderId="0" xfId="94" applyFont="1" applyFill="1" applyAlignment="1">
      <alignment horizontal="left" vertical="center" wrapText="1"/>
    </xf>
    <xf numFmtId="0" fontId="59" fillId="7" borderId="0" xfId="94" quotePrefix="1" applyFont="1" applyFill="1" applyAlignment="1">
      <alignment horizontal="left" vertical="center"/>
    </xf>
    <xf numFmtId="0" fontId="93" fillId="7" borderId="0" xfId="95" quotePrefix="1" applyFill="1" applyAlignment="1">
      <alignment horizontal="left" vertical="center"/>
    </xf>
    <xf numFmtId="2" fontId="57" fillId="13" borderId="30" xfId="94" applyNumberFormat="1" applyFont="1" applyFill="1" applyBorder="1" applyAlignment="1" applyProtection="1">
      <alignment horizontal="center" vertical="center"/>
      <protection locked="0"/>
    </xf>
    <xf numFmtId="2" fontId="57" fillId="13" borderId="29" xfId="94" applyNumberFormat="1" applyFont="1" applyFill="1" applyBorder="1" applyAlignment="1" applyProtection="1">
      <alignment horizontal="center" vertical="center"/>
      <protection locked="0"/>
    </xf>
    <xf numFmtId="3" fontId="57" fillId="12" borderId="28" xfId="94" applyNumberFormat="1" applyFont="1" applyFill="1" applyBorder="1" applyAlignment="1">
      <alignment horizontal="center" vertical="center"/>
    </xf>
    <xf numFmtId="9" fontId="72" fillId="0" borderId="59" xfId="89" applyFont="1" applyFill="1" applyBorder="1" applyAlignment="1" applyProtection="1">
      <alignment horizontal="center" vertical="center"/>
    </xf>
    <xf numFmtId="9" fontId="72" fillId="0" borderId="60" xfId="89" applyFont="1" applyFill="1" applyBorder="1" applyAlignment="1" applyProtection="1">
      <alignment horizontal="center" vertical="center"/>
    </xf>
    <xf numFmtId="0" fontId="62" fillId="22" borderId="42" xfId="84" applyFont="1" applyFill="1" applyBorder="1" applyAlignment="1">
      <alignment horizontal="center" vertical="center"/>
    </xf>
    <xf numFmtId="3" fontId="62" fillId="0" borderId="0" xfId="84" applyNumberFormat="1" applyFont="1" applyAlignment="1">
      <alignment horizontal="center" vertical="center"/>
    </xf>
    <xf numFmtId="0" fontId="62" fillId="0" borderId="0" xfId="84" applyFont="1" applyAlignment="1">
      <alignment horizontal="center" vertical="center"/>
    </xf>
    <xf numFmtId="168" fontId="70" fillId="8" borderId="34" xfId="84" applyNumberFormat="1" applyFont="1" applyFill="1" applyBorder="1" applyAlignment="1">
      <alignment horizontal="center" vertical="center"/>
    </xf>
    <xf numFmtId="0" fontId="62" fillId="22" borderId="0" xfId="84" applyFont="1" applyFill="1" applyAlignment="1">
      <alignment horizontal="center" vertical="center"/>
    </xf>
    <xf numFmtId="0" fontId="72" fillId="22" borderId="42" xfId="84" applyFont="1" applyFill="1" applyBorder="1" applyAlignment="1">
      <alignment horizontal="center" vertical="center"/>
    </xf>
    <xf numFmtId="3" fontId="62" fillId="0" borderId="42" xfId="84" applyNumberFormat="1" applyFont="1" applyBorder="1" applyAlignment="1">
      <alignment horizontal="center" vertical="center"/>
    </xf>
    <xf numFmtId="0" fontId="72" fillId="22" borderId="0" xfId="84" applyFont="1" applyFill="1" applyAlignment="1">
      <alignment horizontal="center" vertical="center"/>
    </xf>
    <xf numFmtId="0" fontId="62" fillId="22" borderId="20" xfId="84" applyFont="1" applyFill="1" applyBorder="1" applyAlignment="1">
      <alignment horizontal="center"/>
    </xf>
    <xf numFmtId="3" fontId="62" fillId="0" borderId="20" xfId="84" applyNumberFormat="1" applyFont="1" applyBorder="1" applyAlignment="1">
      <alignment horizontal="center" vertical="center"/>
    </xf>
    <xf numFmtId="0" fontId="62" fillId="0" borderId="20" xfId="84" applyFont="1" applyBorder="1" applyAlignment="1">
      <alignment horizontal="center" vertical="center"/>
    </xf>
    <xf numFmtId="0" fontId="62" fillId="12" borderId="0" xfId="84" applyFont="1" applyFill="1" applyAlignment="1">
      <alignment horizontal="center" vertical="center"/>
    </xf>
    <xf numFmtId="0" fontId="62" fillId="22" borderId="20" xfId="84" applyFont="1" applyFill="1" applyBorder="1" applyAlignment="1">
      <alignment horizontal="center" vertical="center"/>
    </xf>
    <xf numFmtId="0" fontId="72" fillId="22" borderId="20" xfId="84" applyFont="1" applyFill="1" applyBorder="1" applyAlignment="1">
      <alignment horizontal="center" vertical="center"/>
    </xf>
    <xf numFmtId="49" fontId="62" fillId="22" borderId="0" xfId="84" applyNumberFormat="1" applyFont="1" applyFill="1" applyAlignment="1">
      <alignment horizontal="center" vertical="center"/>
    </xf>
    <xf numFmtId="176" fontId="70" fillId="0" borderId="102" xfId="88" applyNumberFormat="1" applyFont="1" applyFill="1" applyBorder="1" applyAlignment="1" applyProtection="1">
      <alignment horizontal="center" vertical="center"/>
    </xf>
    <xf numFmtId="176" fontId="70" fillId="0" borderId="99" xfId="88" applyNumberFormat="1" applyFont="1" applyFill="1" applyBorder="1" applyAlignment="1" applyProtection="1">
      <alignment horizontal="center" vertical="center"/>
    </xf>
    <xf numFmtId="0" fontId="62" fillId="12" borderId="60" xfId="84" applyFont="1" applyFill="1" applyBorder="1" applyAlignment="1">
      <alignment horizontal="center" vertical="center"/>
    </xf>
    <xf numFmtId="3" fontId="62" fillId="12" borderId="59" xfId="88" applyNumberFormat="1" applyFont="1" applyFill="1" applyBorder="1" applyAlignment="1" applyProtection="1">
      <alignment horizontal="center" vertical="center"/>
    </xf>
    <xf numFmtId="3" fontId="62" fillId="0" borderId="100" xfId="88" applyNumberFormat="1" applyFont="1" applyFill="1" applyBorder="1" applyAlignment="1" applyProtection="1">
      <alignment horizontal="center" vertical="center" shrinkToFit="1"/>
    </xf>
    <xf numFmtId="2" fontId="62" fillId="20" borderId="100" xfId="84" applyNumberFormat="1" applyFont="1" applyFill="1" applyBorder="1" applyAlignment="1" applyProtection="1">
      <alignment horizontal="center" vertical="center"/>
      <protection locked="0"/>
    </xf>
    <xf numFmtId="3" fontId="62" fillId="0" borderId="100" xfId="88" applyNumberFormat="1" applyFont="1" applyFill="1" applyBorder="1" applyAlignment="1" applyProtection="1">
      <alignment horizontal="center" vertical="center"/>
    </xf>
    <xf numFmtId="3" fontId="62" fillId="12" borderId="62" xfId="88" applyNumberFormat="1" applyFont="1" applyFill="1" applyBorder="1" applyAlignment="1" applyProtection="1">
      <alignment horizontal="center" vertical="center"/>
    </xf>
    <xf numFmtId="43" fontId="62" fillId="12" borderId="60" xfId="88" applyFont="1" applyFill="1" applyBorder="1" applyAlignment="1" applyProtection="1">
      <alignment horizontal="center" vertical="center"/>
    </xf>
    <xf numFmtId="0" fontId="62" fillId="22" borderId="0" xfId="84" applyFont="1" applyFill="1" applyAlignment="1">
      <alignment horizontal="left" vertical="center"/>
    </xf>
    <xf numFmtId="3" fontId="62" fillId="0" borderId="0" xfId="88" applyNumberFormat="1" applyFont="1" applyFill="1" applyBorder="1" applyAlignment="1" applyProtection="1">
      <alignment horizontal="center" vertical="center" shrinkToFit="1"/>
    </xf>
    <xf numFmtId="2" fontId="62" fillId="20" borderId="99" xfId="84" applyNumberFormat="1" applyFont="1" applyFill="1" applyBorder="1" applyAlignment="1" applyProtection="1">
      <alignment horizontal="center" vertical="center"/>
      <protection locked="0"/>
    </xf>
    <xf numFmtId="3" fontId="62" fillId="0" borderId="99" xfId="88" applyNumberFormat="1" applyFont="1" applyFill="1" applyBorder="1" applyAlignment="1" applyProtection="1">
      <alignment horizontal="center" vertical="center"/>
    </xf>
    <xf numFmtId="0" fontId="95" fillId="11" borderId="26" xfId="95" applyFont="1" applyFill="1" applyBorder="1" applyAlignment="1" applyProtection="1">
      <alignment horizontal="left" vertical="center"/>
    </xf>
    <xf numFmtId="0" fontId="62" fillId="11" borderId="17" xfId="84" applyFont="1" applyFill="1" applyBorder="1" applyAlignment="1">
      <alignment horizontal="left" vertical="center"/>
    </xf>
    <xf numFmtId="0" fontId="62" fillId="11" borderId="18" xfId="84" applyFont="1" applyFill="1" applyBorder="1" applyAlignment="1">
      <alignment horizontal="left" vertical="center"/>
    </xf>
    <xf numFmtId="0" fontId="62" fillId="11" borderId="19" xfId="84" applyFont="1" applyFill="1" applyBorder="1" applyAlignment="1">
      <alignment horizontal="left" vertical="center"/>
    </xf>
    <xf numFmtId="3" fontId="62" fillId="12" borderId="0" xfId="88" applyNumberFormat="1" applyFont="1" applyFill="1" applyBorder="1" applyAlignment="1" applyProtection="1">
      <alignment horizontal="center" vertical="center"/>
    </xf>
    <xf numFmtId="3" fontId="62" fillId="0" borderId="0" xfId="88" applyNumberFormat="1" applyFont="1" applyFill="1" applyBorder="1" applyAlignment="1" applyProtection="1">
      <alignment horizontal="center" vertical="center"/>
    </xf>
    <xf numFmtId="0" fontId="62" fillId="22" borderId="64" xfId="84" applyFont="1" applyFill="1" applyBorder="1" applyAlignment="1">
      <alignment horizontal="left" vertical="center"/>
    </xf>
    <xf numFmtId="3" fontId="62" fillId="20" borderId="102" xfId="84" applyNumberFormat="1" applyFont="1" applyFill="1" applyBorder="1" applyAlignment="1" applyProtection="1">
      <alignment horizontal="center" vertical="center"/>
      <protection locked="0"/>
    </xf>
    <xf numFmtId="1" fontId="62" fillId="20" borderId="99" xfId="84" applyNumberFormat="1" applyFont="1" applyFill="1" applyBorder="1" applyAlignment="1" applyProtection="1">
      <alignment horizontal="center" vertical="center"/>
      <protection locked="0"/>
    </xf>
    <xf numFmtId="0" fontId="62" fillId="11" borderId="43" xfId="95" applyFont="1" applyFill="1" applyBorder="1" applyAlignment="1" applyProtection="1">
      <alignment horizontal="left" vertical="center" wrapText="1"/>
    </xf>
    <xf numFmtId="0" fontId="62" fillId="11" borderId="42" xfId="95" applyFont="1" applyFill="1" applyBorder="1" applyAlignment="1" applyProtection="1">
      <alignment horizontal="left" vertical="center" wrapText="1"/>
    </xf>
    <xf numFmtId="0" fontId="62" fillId="11" borderId="41" xfId="95" applyFont="1" applyFill="1" applyBorder="1" applyAlignment="1" applyProtection="1">
      <alignment horizontal="left" vertical="center" wrapText="1"/>
    </xf>
    <xf numFmtId="0" fontId="62" fillId="11" borderId="38" xfId="95" applyFont="1" applyFill="1" applyBorder="1" applyAlignment="1" applyProtection="1">
      <alignment horizontal="left" vertical="center" wrapText="1"/>
    </xf>
    <xf numFmtId="0" fontId="62" fillId="11" borderId="20" xfId="95" applyFont="1" applyFill="1" applyBorder="1" applyAlignment="1" applyProtection="1">
      <alignment horizontal="left" vertical="center" wrapText="1"/>
    </xf>
    <xf numFmtId="0" fontId="62" fillId="11" borderId="37" xfId="95" applyFont="1" applyFill="1" applyBorder="1" applyAlignment="1" applyProtection="1">
      <alignment horizontal="left" vertical="center" wrapText="1"/>
    </xf>
    <xf numFmtId="0" fontId="62" fillId="20" borderId="100" xfId="84" applyFont="1" applyFill="1" applyBorder="1" applyAlignment="1" applyProtection="1">
      <alignment horizontal="center" vertical="center"/>
      <protection locked="0"/>
    </xf>
    <xf numFmtId="0" fontId="62" fillId="20" borderId="158" xfId="84" applyFont="1" applyFill="1" applyBorder="1" applyAlignment="1" applyProtection="1">
      <alignment horizontal="center" vertical="center"/>
      <protection locked="0"/>
    </xf>
    <xf numFmtId="0" fontId="62" fillId="20" borderId="99" xfId="84" applyFont="1" applyFill="1" applyBorder="1" applyAlignment="1" applyProtection="1">
      <alignment horizontal="center" vertical="center"/>
      <protection locked="0"/>
    </xf>
    <xf numFmtId="0" fontId="62" fillId="20" borderId="0" xfId="84" applyFont="1" applyFill="1" applyAlignment="1" applyProtection="1">
      <alignment horizontal="center" vertical="center"/>
      <protection locked="0"/>
    </xf>
    <xf numFmtId="0" fontId="62" fillId="11" borderId="26" xfId="84" applyFont="1" applyFill="1" applyBorder="1" applyAlignment="1">
      <alignment horizontal="left" vertical="center"/>
    </xf>
    <xf numFmtId="0" fontId="62" fillId="20" borderId="102" xfId="84" applyFont="1" applyFill="1" applyBorder="1" applyAlignment="1" applyProtection="1">
      <alignment horizontal="center" vertical="center"/>
      <protection locked="0"/>
    </xf>
    <xf numFmtId="10" fontId="62" fillId="20" borderId="100" xfId="83" applyNumberFormat="1" applyFont="1" applyFill="1" applyBorder="1" applyAlignment="1" applyProtection="1">
      <alignment horizontal="center" vertical="center"/>
      <protection locked="0"/>
    </xf>
    <xf numFmtId="176" fontId="62" fillId="20" borderId="0" xfId="84" applyNumberFormat="1" applyFont="1" applyFill="1" applyAlignment="1" applyProtection="1">
      <alignment horizontal="center" vertical="center"/>
      <protection locked="0"/>
    </xf>
    <xf numFmtId="2" fontId="62" fillId="20" borderId="102" xfId="84" applyNumberFormat="1" applyFont="1" applyFill="1" applyBorder="1" applyAlignment="1" applyProtection="1">
      <alignment horizontal="center" vertical="center"/>
      <protection locked="0"/>
    </xf>
    <xf numFmtId="17" fontId="62" fillId="20" borderId="119" xfId="84" applyNumberFormat="1" applyFont="1" applyFill="1" applyBorder="1" applyAlignment="1" applyProtection="1">
      <alignment horizontal="center" vertical="center"/>
      <protection locked="0"/>
    </xf>
    <xf numFmtId="49" fontId="62" fillId="20" borderId="153" xfId="84" applyNumberFormat="1" applyFont="1" applyFill="1" applyBorder="1" applyAlignment="1" applyProtection="1">
      <alignment horizontal="center" vertical="center"/>
      <protection locked="0"/>
    </xf>
    <xf numFmtId="49" fontId="62" fillId="20" borderId="100" xfId="84" applyNumberFormat="1" applyFont="1" applyFill="1" applyBorder="1" applyAlignment="1" applyProtection="1">
      <alignment horizontal="center" vertical="center"/>
      <protection locked="0"/>
    </xf>
    <xf numFmtId="9" fontId="62" fillId="22" borderId="118" xfId="84" applyNumberFormat="1" applyFont="1" applyFill="1" applyBorder="1" applyAlignment="1" applyProtection="1">
      <alignment horizontal="center" vertical="center"/>
    </xf>
    <xf numFmtId="9" fontId="62" fillId="22" borderId="102" xfId="84" applyNumberFormat="1" applyFont="1" applyFill="1" applyBorder="1" applyAlignment="1" applyProtection="1">
      <alignment horizontal="center" vertical="center"/>
    </xf>
    <xf numFmtId="0" fontId="62" fillId="20" borderId="118" xfId="84" applyFont="1" applyFill="1" applyBorder="1" applyAlignment="1" applyProtection="1">
      <alignment horizontal="center" vertical="center"/>
      <protection locked="0"/>
    </xf>
    <xf numFmtId="0" fontId="62" fillId="11" borderId="43" xfId="84" applyFont="1" applyFill="1" applyBorder="1" applyAlignment="1">
      <alignment horizontal="left" vertical="center" wrapText="1"/>
    </xf>
    <xf numFmtId="0" fontId="62" fillId="11" borderId="42" xfId="84" applyFont="1" applyFill="1" applyBorder="1" applyAlignment="1">
      <alignment horizontal="left" vertical="center" wrapText="1"/>
    </xf>
    <xf numFmtId="0" fontId="62" fillId="11" borderId="41" xfId="84" applyFont="1" applyFill="1" applyBorder="1" applyAlignment="1">
      <alignment horizontal="left" vertical="center" wrapText="1"/>
    </xf>
    <xf numFmtId="0" fontId="62" fillId="11" borderId="38" xfId="84" applyFont="1" applyFill="1" applyBorder="1" applyAlignment="1">
      <alignment horizontal="left" vertical="center" wrapText="1"/>
    </xf>
    <xf numFmtId="0" fontId="62" fillId="11" borderId="20" xfId="84" applyFont="1" applyFill="1" applyBorder="1" applyAlignment="1">
      <alignment horizontal="left" vertical="center" wrapText="1"/>
    </xf>
    <xf numFmtId="0" fontId="62" fillId="11" borderId="37" xfId="84" applyFont="1" applyFill="1" applyBorder="1" applyAlignment="1">
      <alignment horizontal="left" vertical="center" wrapText="1"/>
    </xf>
    <xf numFmtId="0" fontId="62" fillId="20" borderId="0" xfId="84" applyFont="1" applyFill="1" applyAlignment="1" applyProtection="1">
      <alignment horizontal="left" vertical="center" wrapText="1" shrinkToFit="1"/>
      <protection locked="0"/>
    </xf>
    <xf numFmtId="0" fontId="62" fillId="20" borderId="160" xfId="84" applyFont="1" applyFill="1" applyBorder="1" applyAlignment="1" applyProtection="1">
      <alignment horizontal="left" vertical="center" wrapText="1" shrinkToFit="1"/>
      <protection locked="0"/>
    </xf>
    <xf numFmtId="0" fontId="62" fillId="20" borderId="159" xfId="84" applyFont="1" applyFill="1" applyBorder="1" applyAlignment="1" applyProtection="1">
      <alignment horizontal="left" vertical="center" wrapText="1" shrinkToFit="1"/>
      <protection locked="0"/>
    </xf>
    <xf numFmtId="2" fontId="62" fillId="22" borderId="99" xfId="84" applyNumberFormat="1" applyFont="1" applyFill="1" applyBorder="1" applyAlignment="1" applyProtection="1">
      <alignment horizontal="center" vertical="center"/>
      <protection locked="0"/>
    </xf>
    <xf numFmtId="3" fontId="62" fillId="22" borderId="99" xfId="88" applyNumberFormat="1" applyFont="1" applyFill="1" applyBorder="1" applyAlignment="1" applyProtection="1">
      <alignment horizontal="center" vertical="center"/>
    </xf>
    <xf numFmtId="0" fontId="62" fillId="20" borderId="161" xfId="84" applyFont="1" applyFill="1" applyBorder="1" applyAlignment="1" applyProtection="1">
      <alignment vertical="center" wrapText="1" shrinkToFit="1"/>
      <protection locked="0"/>
    </xf>
    <xf numFmtId="0" fontId="62" fillId="20" borderId="158" xfId="84" applyFont="1" applyFill="1" applyBorder="1" applyAlignment="1" applyProtection="1">
      <alignment vertical="center" wrapText="1" shrinkToFit="1"/>
      <protection locked="0"/>
    </xf>
    <xf numFmtId="0" fontId="62" fillId="20" borderId="99" xfId="84" applyFont="1" applyFill="1" applyBorder="1" applyAlignment="1" applyProtection="1">
      <alignment vertical="center" wrapText="1" shrinkToFit="1"/>
      <protection locked="0"/>
    </xf>
    <xf numFmtId="0" fontId="62" fillId="20" borderId="157" xfId="84" applyFont="1" applyFill="1" applyBorder="1" applyAlignment="1" applyProtection="1">
      <alignment vertical="center" wrapText="1" shrinkToFit="1"/>
      <protection locked="0"/>
    </xf>
    <xf numFmtId="49" fontId="62" fillId="20" borderId="118" xfId="0" applyNumberFormat="1" applyFont="1" applyFill="1" applyBorder="1" applyAlignment="1" applyProtection="1">
      <alignment horizontal="center" vertical="center"/>
      <protection locked="0"/>
    </xf>
    <xf numFmtId="49" fontId="62" fillId="20" borderId="102" xfId="0" applyNumberFormat="1" applyFont="1" applyFill="1" applyBorder="1" applyAlignment="1" applyProtection="1">
      <alignment horizontal="center" vertical="center"/>
      <protection locked="0"/>
    </xf>
    <xf numFmtId="49" fontId="62" fillId="20" borderId="0" xfId="0" applyNumberFormat="1" applyFont="1" applyFill="1" applyAlignment="1" applyProtection="1">
      <alignment horizontal="center" vertical="center"/>
      <protection locked="0"/>
    </xf>
    <xf numFmtId="0" fontId="62" fillId="22" borderId="63" xfId="84" applyFont="1" applyFill="1" applyBorder="1" applyAlignment="1">
      <alignment horizontal="left" vertical="center"/>
    </xf>
    <xf numFmtId="0" fontId="62" fillId="20" borderId="0" xfId="84" applyFont="1" applyFill="1" applyAlignment="1" applyProtection="1">
      <alignment horizontal="center" vertical="center" wrapText="1" shrinkToFit="1"/>
      <protection locked="0"/>
    </xf>
    <xf numFmtId="0" fontId="62" fillId="20" borderId="118" xfId="0" applyFont="1" applyFill="1" applyBorder="1" applyAlignment="1" applyProtection="1">
      <alignment horizontal="center" vertical="center"/>
      <protection locked="0"/>
    </xf>
    <xf numFmtId="0" fontId="62" fillId="20" borderId="102" xfId="0" applyFont="1" applyFill="1" applyBorder="1" applyAlignment="1" applyProtection="1">
      <alignment horizontal="center" vertical="center"/>
      <protection locked="0"/>
    </xf>
    <xf numFmtId="3" fontId="62" fillId="12" borderId="0" xfId="84" applyNumberFormat="1" applyFont="1" applyFill="1" applyAlignment="1">
      <alignment horizontal="center" vertical="center"/>
    </xf>
    <xf numFmtId="3" fontId="62" fillId="12" borderId="164" xfId="84" applyNumberFormat="1" applyFont="1" applyFill="1" applyBorder="1" applyAlignment="1">
      <alignment horizontal="center" vertical="center"/>
    </xf>
    <xf numFmtId="0" fontId="62" fillId="22" borderId="163" xfId="84" applyFont="1" applyFill="1" applyBorder="1" applyAlignment="1">
      <alignment horizontal="left" vertical="center"/>
    </xf>
    <xf numFmtId="3" fontId="62" fillId="13" borderId="0" xfId="84" applyNumberFormat="1" applyFont="1" applyFill="1" applyAlignment="1" applyProtection="1">
      <alignment horizontal="center" vertical="center"/>
      <protection locked="0"/>
    </xf>
    <xf numFmtId="0" fontId="62" fillId="11" borderId="17" xfId="84" applyFont="1" applyFill="1" applyBorder="1" applyAlignment="1">
      <alignment horizontal="left" vertical="center" wrapText="1"/>
    </xf>
    <xf numFmtId="0" fontId="62" fillId="11" borderId="18" xfId="84" applyFont="1" applyFill="1" applyBorder="1" applyAlignment="1">
      <alignment horizontal="left" vertical="center" wrapText="1"/>
    </xf>
    <xf numFmtId="0" fontId="62" fillId="11" borderId="19" xfId="84" applyFont="1" applyFill="1" applyBorder="1" applyAlignment="1">
      <alignment horizontal="left" vertical="center" wrapText="1"/>
    </xf>
    <xf numFmtId="0" fontId="62" fillId="13" borderId="164" xfId="84" applyFont="1" applyFill="1" applyBorder="1" applyAlignment="1" applyProtection="1">
      <alignment horizontal="center" vertical="center"/>
      <protection locked="0"/>
    </xf>
    <xf numFmtId="2" fontId="62" fillId="13" borderId="164" xfId="84" applyNumberFormat="1" applyFont="1" applyFill="1" applyBorder="1" applyAlignment="1" applyProtection="1">
      <alignment horizontal="center" vertical="center"/>
      <protection locked="0"/>
    </xf>
    <xf numFmtId="2" fontId="62" fillId="12" borderId="164" xfId="84" applyNumberFormat="1" applyFont="1" applyFill="1" applyBorder="1" applyAlignment="1">
      <alignment horizontal="center" vertical="center"/>
    </xf>
    <xf numFmtId="3" fontId="62" fillId="13" borderId="164" xfId="84" applyNumberFormat="1" applyFont="1" applyFill="1" applyBorder="1" applyAlignment="1" applyProtection="1">
      <alignment horizontal="center" vertical="center"/>
      <protection locked="0"/>
    </xf>
    <xf numFmtId="0" fontId="79" fillId="21" borderId="164" xfId="84" applyFont="1" applyFill="1" applyBorder="1" applyAlignment="1">
      <alignment horizontal="center" vertical="center"/>
    </xf>
    <xf numFmtId="49" fontId="62" fillId="13" borderId="0" xfId="84" applyNumberFormat="1" applyFont="1" applyFill="1" applyAlignment="1" applyProtection="1">
      <alignment horizontal="center" vertical="center"/>
      <protection locked="0"/>
    </xf>
    <xf numFmtId="0" fontId="62" fillId="13" borderId="0" xfId="84" applyFont="1" applyFill="1" applyAlignment="1" applyProtection="1">
      <alignment horizontal="center" vertical="center"/>
      <protection locked="0"/>
    </xf>
    <xf numFmtId="49" fontId="62" fillId="22" borderId="163" xfId="84" applyNumberFormat="1" applyFont="1" applyFill="1" applyBorder="1" applyAlignment="1">
      <alignment horizontal="center" vertical="center"/>
    </xf>
    <xf numFmtId="0" fontId="62" fillId="20" borderId="170" xfId="84" applyFont="1" applyFill="1" applyBorder="1" applyAlignment="1" applyProtection="1">
      <alignment horizontal="center" vertical="center"/>
      <protection locked="0"/>
    </xf>
    <xf numFmtId="0" fontId="62" fillId="20" borderId="171" xfId="84" applyFont="1" applyFill="1" applyBorder="1" applyAlignment="1" applyProtection="1">
      <alignment horizontal="center" vertical="center"/>
      <protection locked="0"/>
    </xf>
    <xf numFmtId="0" fontId="62" fillId="20" borderId="172" xfId="84" applyFont="1" applyFill="1" applyBorder="1" applyAlignment="1" applyProtection="1">
      <alignment horizontal="center" vertical="center"/>
      <protection locked="0"/>
    </xf>
    <xf numFmtId="3" fontId="62" fillId="13" borderId="170" xfId="84" applyNumberFormat="1" applyFont="1" applyFill="1" applyBorder="1" applyAlignment="1" applyProtection="1">
      <alignment horizontal="center" vertical="center"/>
      <protection locked="0"/>
    </xf>
    <xf numFmtId="3" fontId="62" fillId="13" borderId="171" xfId="84" applyNumberFormat="1" applyFont="1" applyFill="1" applyBorder="1" applyAlignment="1" applyProtection="1">
      <alignment horizontal="center" vertical="center"/>
      <protection locked="0"/>
    </xf>
    <xf numFmtId="3" fontId="62" fillId="13" borderId="172" xfId="84" applyNumberFormat="1" applyFont="1" applyFill="1" applyBorder="1" applyAlignment="1" applyProtection="1">
      <alignment horizontal="center" vertical="center"/>
      <protection locked="0"/>
    </xf>
    <xf numFmtId="0" fontId="62" fillId="11" borderId="40" xfId="84" applyFont="1" applyFill="1" applyBorder="1" applyAlignment="1">
      <alignment horizontal="left" vertical="center" wrapText="1"/>
    </xf>
    <xf numFmtId="0" fontId="62" fillId="11" borderId="0" xfId="84" applyFont="1" applyFill="1" applyAlignment="1">
      <alignment horizontal="left" vertical="center" wrapText="1"/>
    </xf>
    <xf numFmtId="0" fontId="62" fillId="11" borderId="39" xfId="84" applyFont="1" applyFill="1" applyBorder="1" applyAlignment="1">
      <alignment horizontal="left" vertical="center" wrapText="1"/>
    </xf>
    <xf numFmtId="0" fontId="62" fillId="22" borderId="163" xfId="84" applyFont="1" applyFill="1" applyBorder="1" applyAlignment="1">
      <alignment horizontal="center" vertical="center"/>
    </xf>
    <xf numFmtId="0" fontId="62" fillId="20" borderId="98" xfId="84" applyFont="1" applyFill="1" applyBorder="1" applyAlignment="1" applyProtection="1">
      <alignment horizontal="center" vertical="center" wrapText="1"/>
      <protection locked="0"/>
    </xf>
    <xf numFmtId="3" fontId="62" fillId="20" borderId="98" xfId="84" applyNumberFormat="1" applyFont="1" applyFill="1" applyBorder="1" applyAlignment="1" applyProtection="1">
      <alignment horizontal="center" vertical="center" wrapText="1"/>
      <protection locked="0"/>
    </xf>
    <xf numFmtId="2" fontId="62" fillId="0" borderId="98" xfId="84" applyNumberFormat="1" applyFont="1" applyBorder="1" applyAlignment="1">
      <alignment horizontal="center" vertical="center"/>
    </xf>
    <xf numFmtId="3" fontId="62" fillId="0" borderId="98" xfId="84" applyNumberFormat="1" applyFont="1" applyBorder="1" applyAlignment="1">
      <alignment horizontal="center" vertical="center"/>
    </xf>
    <xf numFmtId="3" fontId="62" fillId="0" borderId="0" xfId="84" applyNumberFormat="1" applyFont="1" applyAlignment="1">
      <alignment horizontal="center" vertical="center" wrapText="1"/>
    </xf>
    <xf numFmtId="3" fontId="62" fillId="20" borderId="0" xfId="84" applyNumberFormat="1" applyFont="1" applyFill="1" applyAlignment="1" applyProtection="1">
      <alignment horizontal="center" vertical="center"/>
      <protection locked="0"/>
    </xf>
    <xf numFmtId="0" fontId="79" fillId="23" borderId="0" xfId="84" applyFont="1" applyFill="1" applyAlignment="1">
      <alignment horizontal="center" vertical="center"/>
    </xf>
    <xf numFmtId="0" fontId="62" fillId="11" borderId="26" xfId="84" applyFont="1" applyFill="1" applyBorder="1" applyAlignment="1">
      <alignment horizontal="left" wrapText="1"/>
    </xf>
    <xf numFmtId="0" fontId="96" fillId="11" borderId="26" xfId="84" applyFont="1" applyFill="1" applyBorder="1" applyAlignment="1">
      <alignment horizontal="left" wrapText="1"/>
    </xf>
    <xf numFmtId="3" fontId="62" fillId="12" borderId="163" xfId="84" applyNumberFormat="1" applyFont="1" applyFill="1" applyBorder="1" applyAlignment="1">
      <alignment horizontal="center" vertical="center"/>
    </xf>
    <xf numFmtId="3" fontId="62" fillId="12" borderId="163" xfId="84" applyNumberFormat="1" applyFont="1" applyFill="1" applyBorder="1" applyAlignment="1">
      <alignment horizontal="center" vertical="center" wrapText="1"/>
    </xf>
    <xf numFmtId="3" fontId="62" fillId="13" borderId="163" xfId="84" applyNumberFormat="1" applyFont="1" applyFill="1" applyBorder="1" applyAlignment="1" applyProtection="1">
      <alignment horizontal="center" vertical="center"/>
      <protection locked="0"/>
    </xf>
    <xf numFmtId="0" fontId="62" fillId="13" borderId="163" xfId="84" applyFont="1" applyFill="1" applyBorder="1" applyAlignment="1" applyProtection="1">
      <alignment horizontal="center" vertical="center" wrapText="1"/>
      <protection locked="0"/>
    </xf>
    <xf numFmtId="3" fontId="62" fillId="13" borderId="163" xfId="84" applyNumberFormat="1" applyFont="1" applyFill="1" applyBorder="1" applyAlignment="1" applyProtection="1">
      <alignment horizontal="center" vertical="center" wrapText="1"/>
      <protection locked="0"/>
    </xf>
    <xf numFmtId="2" fontId="62" fillId="12" borderId="163" xfId="84" applyNumberFormat="1" applyFont="1" applyFill="1" applyBorder="1" applyAlignment="1">
      <alignment horizontal="center" vertical="center"/>
    </xf>
    <xf numFmtId="0" fontId="79" fillId="21" borderId="163" xfId="84" applyFont="1" applyFill="1" applyBorder="1" applyAlignment="1">
      <alignment horizontal="center" vertical="center"/>
    </xf>
    <xf numFmtId="0" fontId="62" fillId="7" borderId="163" xfId="84" applyFont="1" applyFill="1" applyBorder="1" applyAlignment="1">
      <alignment horizontal="center" vertical="center"/>
    </xf>
    <xf numFmtId="2" fontId="62" fillId="12" borderId="0" xfId="84" applyNumberFormat="1" applyFont="1" applyFill="1" applyAlignment="1">
      <alignment horizontal="center"/>
    </xf>
    <xf numFmtId="10" fontId="62" fillId="12" borderId="0" xfId="84" applyNumberFormat="1" applyFont="1" applyFill="1" applyAlignment="1">
      <alignment horizontal="center" vertical="center"/>
    </xf>
    <xf numFmtId="0" fontId="62" fillId="22" borderId="0" xfId="84" applyFont="1" applyFill="1" applyAlignment="1">
      <alignment vertical="center"/>
    </xf>
    <xf numFmtId="0" fontId="62" fillId="22" borderId="0" xfId="84" quotePrefix="1" applyFont="1" applyFill="1" applyAlignment="1">
      <alignment horizontal="right" vertical="center"/>
    </xf>
    <xf numFmtId="0" fontId="62" fillId="22" borderId="0" xfId="84" applyFont="1" applyFill="1" applyAlignment="1">
      <alignment horizontal="right" vertical="center"/>
    </xf>
    <xf numFmtId="2" fontId="62" fillId="20" borderId="76" xfId="84" applyNumberFormat="1" applyFont="1" applyFill="1" applyBorder="1" applyAlignment="1" applyProtection="1">
      <alignment horizontal="center" vertical="center" wrapText="1"/>
      <protection locked="0"/>
    </xf>
    <xf numFmtId="0" fontId="45" fillId="0" borderId="0" xfId="84"/>
    <xf numFmtId="0" fontId="95" fillId="11" borderId="26" xfId="95" applyFont="1" applyFill="1" applyBorder="1" applyAlignment="1" applyProtection="1">
      <alignment horizontal="left" vertical="center" wrapText="1"/>
    </xf>
    <xf numFmtId="0" fontId="93" fillId="11" borderId="26" xfId="95" applyFill="1" applyBorder="1" applyAlignment="1" applyProtection="1">
      <alignment horizontal="left" vertical="center" wrapText="1"/>
    </xf>
    <xf numFmtId="0" fontId="62" fillId="22" borderId="49" xfId="84" applyFont="1" applyFill="1" applyBorder="1" applyAlignment="1">
      <alignment horizontal="left" vertical="center" wrapText="1"/>
    </xf>
    <xf numFmtId="0" fontId="62" fillId="22" borderId="49" xfId="84" applyFont="1" applyFill="1" applyBorder="1" applyAlignment="1">
      <alignment horizontal="center" vertical="center" wrapText="1"/>
    </xf>
    <xf numFmtId="0" fontId="62" fillId="22" borderId="70" xfId="84" applyFont="1" applyFill="1" applyBorder="1" applyAlignment="1">
      <alignment horizontal="center" vertical="center" wrapText="1"/>
    </xf>
    <xf numFmtId="2" fontId="62" fillId="0" borderId="0" xfId="84" applyNumberFormat="1" applyFont="1" applyAlignment="1">
      <alignment horizontal="center" vertical="center" wrapText="1"/>
    </xf>
    <xf numFmtId="0" fontId="62" fillId="22" borderId="71" xfId="84" applyFont="1" applyFill="1" applyBorder="1" applyAlignment="1">
      <alignment horizontal="center" vertical="center" wrapText="1"/>
    </xf>
    <xf numFmtId="0" fontId="62" fillId="22" borderId="72" xfId="84" applyFont="1" applyFill="1" applyBorder="1" applyAlignment="1">
      <alignment horizontal="left" vertical="center" wrapText="1"/>
    </xf>
    <xf numFmtId="0" fontId="62" fillId="22" borderId="76" xfId="84" applyFont="1" applyFill="1" applyBorder="1" applyAlignment="1">
      <alignment horizontal="left" vertical="center" wrapText="1"/>
    </xf>
    <xf numFmtId="0" fontId="62" fillId="22" borderId="73" xfId="84" applyFont="1" applyFill="1" applyBorder="1" applyAlignment="1">
      <alignment horizontal="left" vertical="center" wrapText="1"/>
    </xf>
    <xf numFmtId="0" fontId="62" fillId="22" borderId="72" xfId="84" applyFont="1" applyFill="1" applyBorder="1" applyAlignment="1">
      <alignment horizontal="center" vertical="center" wrapText="1"/>
    </xf>
    <xf numFmtId="0" fontId="62" fillId="22" borderId="76" xfId="84" applyFont="1" applyFill="1" applyBorder="1" applyAlignment="1">
      <alignment horizontal="center" vertical="center" wrapText="1"/>
    </xf>
    <xf numFmtId="0" fontId="62" fillId="22" borderId="73" xfId="84" applyFont="1" applyFill="1" applyBorder="1" applyAlignment="1">
      <alignment horizontal="center" vertical="center" wrapText="1"/>
    </xf>
    <xf numFmtId="10" fontId="62" fillId="20" borderId="0" xfId="84" applyNumberFormat="1" applyFont="1" applyFill="1" applyAlignment="1" applyProtection="1">
      <alignment horizontal="center" vertical="center"/>
      <protection locked="0"/>
    </xf>
    <xf numFmtId="173" fontId="62" fillId="20" borderId="0" xfId="84" applyNumberFormat="1" applyFont="1" applyFill="1" applyAlignment="1" applyProtection="1">
      <alignment horizontal="center" vertical="center"/>
      <protection locked="0"/>
    </xf>
    <xf numFmtId="0" fontId="80" fillId="23" borderId="52" xfId="84" applyFont="1" applyFill="1" applyBorder="1" applyAlignment="1">
      <alignment horizontal="center" vertical="center" wrapText="1"/>
    </xf>
    <xf numFmtId="0" fontId="80" fillId="23" borderId="51" xfId="84" applyFont="1" applyFill="1" applyBorder="1" applyAlignment="1">
      <alignment horizontal="center" vertical="center" wrapText="1"/>
    </xf>
    <xf numFmtId="0" fontId="79" fillId="23" borderId="51" xfId="84" applyFont="1" applyFill="1" applyBorder="1" applyAlignment="1">
      <alignment horizontal="center" vertical="center" wrapText="1"/>
    </xf>
    <xf numFmtId="0" fontId="79" fillId="23" borderId="50" xfId="84" applyFont="1" applyFill="1" applyBorder="1" applyAlignment="1">
      <alignment horizontal="center" vertical="center" wrapText="1"/>
    </xf>
    <xf numFmtId="0" fontId="62" fillId="22" borderId="0" xfId="84" applyFont="1" applyFill="1" applyAlignment="1">
      <alignment horizontal="left" vertical="center" wrapText="1"/>
    </xf>
    <xf numFmtId="0" fontId="62" fillId="22" borderId="61" xfId="84" applyFont="1" applyFill="1" applyBorder="1" applyAlignment="1">
      <alignment horizontal="center" vertical="center"/>
    </xf>
    <xf numFmtId="0" fontId="72" fillId="22" borderId="0" xfId="84" applyFont="1" applyFill="1" applyAlignment="1">
      <alignment vertical="center"/>
    </xf>
    <xf numFmtId="0" fontId="62" fillId="11" borderId="26" xfId="84" quotePrefix="1" applyFont="1" applyFill="1" applyBorder="1" applyAlignment="1">
      <alignment horizontal="left" vertical="center" wrapText="1"/>
    </xf>
    <xf numFmtId="0" fontId="62" fillId="22" borderId="64" xfId="84" applyFont="1" applyFill="1" applyBorder="1" applyAlignment="1">
      <alignment horizontal="left" vertical="center" wrapText="1"/>
    </xf>
    <xf numFmtId="0" fontId="62" fillId="11" borderId="26" xfId="84" applyFont="1" applyFill="1" applyBorder="1" applyAlignment="1">
      <alignment horizontal="left" vertical="top" wrapText="1"/>
    </xf>
    <xf numFmtId="0" fontId="62" fillId="11" borderId="43" xfId="84" quotePrefix="1" applyFont="1" applyFill="1" applyBorder="1" applyAlignment="1">
      <alignment horizontal="left" vertical="center" wrapText="1"/>
    </xf>
    <xf numFmtId="0" fontId="62" fillId="11" borderId="42" xfId="84" quotePrefix="1" applyFont="1" applyFill="1" applyBorder="1" applyAlignment="1">
      <alignment horizontal="left" vertical="center" wrapText="1"/>
    </xf>
    <xf numFmtId="0" fontId="62" fillId="11" borderId="41" xfId="84" quotePrefix="1" applyFont="1" applyFill="1" applyBorder="1" applyAlignment="1">
      <alignment horizontal="left" vertical="center" wrapText="1"/>
    </xf>
    <xf numFmtId="0" fontId="62" fillId="11" borderId="40" xfId="84" quotePrefix="1" applyFont="1" applyFill="1" applyBorder="1" applyAlignment="1">
      <alignment horizontal="left" vertical="center" wrapText="1"/>
    </xf>
    <xf numFmtId="0" fontId="62" fillId="11" borderId="0" xfId="84" quotePrefix="1" applyFont="1" applyFill="1" applyBorder="1" applyAlignment="1">
      <alignment horizontal="left" vertical="center" wrapText="1"/>
    </xf>
    <xf numFmtId="0" fontId="62" fillId="11" borderId="39" xfId="84" quotePrefix="1" applyFont="1" applyFill="1" applyBorder="1" applyAlignment="1">
      <alignment horizontal="left" vertical="center" wrapText="1"/>
    </xf>
    <xf numFmtId="0" fontId="62" fillId="11" borderId="38" xfId="84" quotePrefix="1" applyFont="1" applyFill="1" applyBorder="1" applyAlignment="1">
      <alignment horizontal="left" vertical="center" wrapText="1"/>
    </xf>
    <xf numFmtId="0" fontId="62" fillId="11" borderId="20" xfId="84" quotePrefix="1" applyFont="1" applyFill="1" applyBorder="1" applyAlignment="1">
      <alignment horizontal="left" vertical="center" wrapText="1"/>
    </xf>
    <xf numFmtId="0" fontId="62" fillId="11" borderId="37" xfId="84" quotePrefix="1" applyFont="1" applyFill="1" applyBorder="1" applyAlignment="1">
      <alignment horizontal="left" vertical="center" wrapText="1"/>
    </xf>
    <xf numFmtId="0" fontId="105" fillId="0" borderId="0" xfId="99" applyFont="1" applyAlignment="1">
      <alignment vertical="center"/>
    </xf>
    <xf numFmtId="0" fontId="62" fillId="22" borderId="48" xfId="84" applyFont="1" applyFill="1" applyBorder="1" applyAlignment="1">
      <alignment horizontal="left" vertical="center"/>
    </xf>
    <xf numFmtId="0" fontId="62" fillId="22" borderId="72" xfId="84" applyFont="1" applyFill="1" applyBorder="1" applyAlignment="1">
      <alignment horizontal="left" vertical="center"/>
    </xf>
    <xf numFmtId="172" fontId="62" fillId="12" borderId="80" xfId="88" applyNumberFormat="1" applyFont="1" applyFill="1" applyBorder="1" applyAlignment="1" applyProtection="1">
      <alignment horizontal="center" vertical="center"/>
    </xf>
    <xf numFmtId="0" fontId="62" fillId="22" borderId="48" xfId="84" applyFont="1" applyFill="1" applyBorder="1" applyAlignment="1">
      <alignment horizontal="left" vertical="center" wrapText="1"/>
    </xf>
    <xf numFmtId="171" fontId="62" fillId="12" borderId="80" xfId="84" applyNumberFormat="1" applyFont="1" applyFill="1" applyBorder="1" applyAlignment="1">
      <alignment horizontal="center" vertical="center"/>
    </xf>
    <xf numFmtId="0" fontId="45" fillId="0" borderId="84" xfId="84" applyBorder="1" applyAlignment="1">
      <alignment horizontal="center"/>
    </xf>
    <xf numFmtId="0" fontId="45" fillId="0" borderId="83" xfId="84" applyBorder="1" applyAlignment="1">
      <alignment horizontal="center"/>
    </xf>
    <xf numFmtId="174" fontId="62" fillId="12" borderId="84" xfId="84" applyNumberFormat="1" applyFont="1" applyFill="1" applyBorder="1" applyAlignment="1">
      <alignment horizontal="center" vertical="center"/>
    </xf>
    <xf numFmtId="174" fontId="62" fillId="12" borderId="83" xfId="84" applyNumberFormat="1" applyFont="1" applyFill="1" applyBorder="1" applyAlignment="1">
      <alignment horizontal="center" vertical="center"/>
    </xf>
    <xf numFmtId="0" fontId="101" fillId="24" borderId="0" xfId="0" applyFont="1" applyFill="1" applyAlignment="1">
      <alignment vertical="center" wrapText="1"/>
    </xf>
    <xf numFmtId="0" fontId="101" fillId="24" borderId="150" xfId="0" applyFont="1" applyFill="1" applyBorder="1" applyAlignment="1">
      <alignment vertical="center" wrapText="1"/>
    </xf>
    <xf numFmtId="0" fontId="62" fillId="12" borderId="80" xfId="84" applyFont="1" applyFill="1" applyBorder="1" applyAlignment="1">
      <alignment horizontal="center" vertical="center"/>
    </xf>
    <xf numFmtId="172" fontId="62" fillId="12" borderId="84" xfId="88" applyNumberFormat="1" applyFont="1" applyFill="1" applyBorder="1" applyAlignment="1" applyProtection="1">
      <alignment horizontal="center" vertical="center"/>
    </xf>
    <xf numFmtId="172" fontId="62" fillId="12" borderId="83" xfId="88" applyNumberFormat="1" applyFont="1" applyFill="1" applyBorder="1" applyAlignment="1" applyProtection="1">
      <alignment horizontal="center" vertical="center"/>
    </xf>
    <xf numFmtId="9" fontId="62" fillId="12" borderId="80" xfId="83" applyFont="1" applyFill="1" applyBorder="1" applyAlignment="1">
      <alignment horizontal="center" vertical="center"/>
    </xf>
    <xf numFmtId="2" fontId="62" fillId="12" borderId="80" xfId="84" applyNumberFormat="1" applyFont="1" applyFill="1" applyBorder="1" applyAlignment="1">
      <alignment horizontal="center" vertical="center"/>
    </xf>
    <xf numFmtId="0" fontId="62" fillId="22" borderId="47" xfId="84" applyFont="1" applyFill="1" applyBorder="1" applyAlignment="1">
      <alignment horizontal="left" vertical="center" wrapText="1"/>
    </xf>
    <xf numFmtId="0" fontId="62" fillId="22" borderId="47" xfId="84" applyFont="1" applyFill="1" applyBorder="1" applyAlignment="1">
      <alignment horizontal="center" vertical="center" wrapText="1"/>
    </xf>
    <xf numFmtId="0" fontId="62" fillId="22" borderId="49" xfId="84" applyFont="1" applyFill="1" applyBorder="1" applyAlignment="1">
      <alignment horizontal="left" vertical="center"/>
    </xf>
    <xf numFmtId="0" fontId="62" fillId="22" borderId="70" xfId="84" applyFont="1" applyFill="1" applyBorder="1" applyAlignment="1">
      <alignment horizontal="left" vertical="center"/>
    </xf>
    <xf numFmtId="9" fontId="62" fillId="13" borderId="146" xfId="83" applyFont="1" applyFill="1" applyBorder="1" applyAlignment="1" applyProtection="1">
      <alignment horizontal="center" vertical="center"/>
      <protection locked="0"/>
    </xf>
    <xf numFmtId="0" fontId="21" fillId="11" borderId="17" xfId="98" applyFill="1" applyBorder="1" applyAlignment="1" applyProtection="1">
      <alignment horizontal="left" vertical="center"/>
    </xf>
    <xf numFmtId="0" fontId="21" fillId="11" borderId="18" xfId="98" applyFill="1" applyBorder="1" applyAlignment="1" applyProtection="1">
      <alignment horizontal="left" vertical="center"/>
    </xf>
    <xf numFmtId="0" fontId="21" fillId="11" borderId="19" xfId="98" applyFill="1" applyBorder="1" applyAlignment="1" applyProtection="1">
      <alignment horizontal="left" vertical="center"/>
    </xf>
    <xf numFmtId="172" fontId="62" fillId="12" borderId="80" xfId="88" applyNumberFormat="1" applyFont="1" applyFill="1" applyBorder="1" applyAlignment="1" applyProtection="1">
      <alignment vertical="center"/>
    </xf>
    <xf numFmtId="0" fontId="62" fillId="22" borderId="75" xfId="84" applyFont="1" applyFill="1" applyBorder="1" applyAlignment="1">
      <alignment horizontal="left" vertical="center" wrapText="1"/>
    </xf>
    <xf numFmtId="171" fontId="62" fillId="12" borderId="149" xfId="84" applyNumberFormat="1" applyFont="1" applyFill="1" applyBorder="1" applyAlignment="1">
      <alignment horizontal="center" vertical="center"/>
    </xf>
    <xf numFmtId="0" fontId="62" fillId="12" borderId="63" xfId="84" applyFont="1" applyFill="1" applyBorder="1" applyAlignment="1">
      <alignment horizontal="left" vertical="center" wrapText="1"/>
    </xf>
    <xf numFmtId="0" fontId="62" fillId="12" borderId="0" xfId="84" applyFont="1" applyFill="1" applyAlignment="1">
      <alignment horizontal="left" vertical="center" wrapText="1"/>
    </xf>
    <xf numFmtId="0" fontId="62" fillId="13" borderId="80" xfId="84" applyFont="1" applyFill="1" applyBorder="1" applyAlignment="1" applyProtection="1">
      <alignment horizontal="center" vertical="center"/>
      <protection locked="0"/>
    </xf>
    <xf numFmtId="169" fontId="62" fillId="12" borderId="80" xfId="84" applyNumberFormat="1" applyFont="1" applyFill="1" applyBorder="1" applyAlignment="1">
      <alignment horizontal="center" vertical="center"/>
    </xf>
    <xf numFmtId="0" fontId="62" fillId="22" borderId="47" xfId="84" applyFont="1" applyFill="1" applyBorder="1" applyAlignment="1">
      <alignment vertical="center" wrapText="1"/>
    </xf>
    <xf numFmtId="0" fontId="62" fillId="22" borderId="49" xfId="84" applyFont="1" applyFill="1" applyBorder="1" applyAlignment="1">
      <alignment vertical="center" wrapText="1"/>
    </xf>
    <xf numFmtId="0" fontId="62" fillId="22" borderId="47" xfId="84" applyFont="1" applyFill="1" applyBorder="1" applyAlignment="1">
      <alignment horizontal="center" vertical="center"/>
    </xf>
    <xf numFmtId="0" fontId="62" fillId="22" borderId="49" xfId="84" applyFont="1" applyFill="1" applyBorder="1" applyAlignment="1">
      <alignment horizontal="center" vertical="center"/>
    </xf>
    <xf numFmtId="0" fontId="62" fillId="22" borderId="51" xfId="84" applyFont="1" applyFill="1" applyBorder="1" applyAlignment="1">
      <alignment horizontal="center" vertical="center"/>
    </xf>
    <xf numFmtId="1" fontId="62" fillId="22" borderId="80" xfId="84" applyNumberFormat="1" applyFont="1" applyFill="1" applyBorder="1" applyAlignment="1">
      <alignment horizontal="center" vertical="center"/>
    </xf>
    <xf numFmtId="0" fontId="79" fillId="23" borderId="52" xfId="84" applyFont="1" applyFill="1" applyBorder="1" applyAlignment="1">
      <alignment horizontal="center" vertical="center"/>
    </xf>
    <xf numFmtId="0" fontId="62" fillId="22" borderId="51" xfId="84" applyFont="1" applyFill="1" applyBorder="1" applyAlignment="1">
      <alignment vertical="center" wrapText="1"/>
    </xf>
    <xf numFmtId="0" fontId="79" fillId="23" borderId="71" xfId="84" applyFont="1" applyFill="1" applyBorder="1" applyAlignment="1">
      <alignment horizontal="left" vertical="center"/>
    </xf>
    <xf numFmtId="0" fontId="79" fillId="23" borderId="49" xfId="84" applyFont="1" applyFill="1" applyBorder="1" applyAlignment="1">
      <alignment horizontal="left" vertical="center"/>
    </xf>
    <xf numFmtId="0" fontId="79" fillId="23" borderId="74" xfId="84" applyFont="1" applyFill="1" applyBorder="1" applyAlignment="1">
      <alignment horizontal="left" vertical="center"/>
    </xf>
    <xf numFmtId="0" fontId="79" fillId="23" borderId="47" xfId="84" applyFont="1" applyFill="1" applyBorder="1" applyAlignment="1">
      <alignment horizontal="left" vertical="center"/>
    </xf>
    <xf numFmtId="0" fontId="79" fillId="23" borderId="49" xfId="84" applyFont="1" applyFill="1" applyBorder="1" applyAlignment="1">
      <alignment horizontal="center" vertical="center"/>
    </xf>
    <xf numFmtId="0" fontId="79" fillId="23" borderId="70" xfId="84" applyFont="1" applyFill="1" applyBorder="1" applyAlignment="1">
      <alignment horizontal="center" vertical="center"/>
    </xf>
    <xf numFmtId="0" fontId="79" fillId="23" borderId="47" xfId="84" applyFont="1" applyFill="1" applyBorder="1" applyAlignment="1">
      <alignment horizontal="center" vertical="center"/>
    </xf>
    <xf numFmtId="0" fontId="79" fillId="23" borderId="47" xfId="84" applyFont="1" applyFill="1" applyBorder="1" applyAlignment="1">
      <alignment horizontal="center" vertical="center" wrapText="1"/>
    </xf>
    <xf numFmtId="0" fontId="79" fillId="23" borderId="75" xfId="84" applyFont="1" applyFill="1" applyBorder="1" applyAlignment="1">
      <alignment horizontal="center" vertical="center" wrapText="1"/>
    </xf>
    <xf numFmtId="0" fontId="62" fillId="13" borderId="35" xfId="99" applyFont="1" applyFill="1" applyBorder="1" applyAlignment="1" applyProtection="1">
      <alignment horizontal="center" vertical="center"/>
      <protection locked="0"/>
    </xf>
    <xf numFmtId="0" fontId="62" fillId="13" borderId="145" xfId="84" applyFont="1" applyFill="1" applyBorder="1" applyAlignment="1" applyProtection="1">
      <alignment horizontal="center" vertical="center"/>
      <protection locked="0"/>
    </xf>
    <xf numFmtId="0" fontId="62" fillId="13" borderId="147" xfId="84" applyFont="1" applyFill="1" applyBorder="1" applyAlignment="1" applyProtection="1">
      <alignment horizontal="center" vertical="center"/>
      <protection locked="0"/>
    </xf>
    <xf numFmtId="0" fontId="62" fillId="13" borderId="148" xfId="84" applyFont="1" applyFill="1" applyBorder="1" applyAlignment="1" applyProtection="1">
      <alignment horizontal="center" vertical="center"/>
      <protection locked="0"/>
    </xf>
    <xf numFmtId="10" fontId="62" fillId="13" borderId="0" xfId="84" applyNumberFormat="1" applyFont="1" applyFill="1" applyAlignment="1" applyProtection="1">
      <alignment horizontal="center" vertical="center"/>
      <protection locked="0"/>
    </xf>
    <xf numFmtId="0" fontId="62" fillId="22" borderId="76" xfId="84" applyFont="1" applyFill="1" applyBorder="1" applyAlignment="1">
      <alignment horizontal="left" vertical="center"/>
    </xf>
    <xf numFmtId="0" fontId="104" fillId="11" borderId="109" xfId="0" applyFont="1" applyFill="1" applyBorder="1" applyAlignment="1">
      <alignment horizontal="left" vertical="top" wrapText="1"/>
    </xf>
    <xf numFmtId="0" fontId="104" fillId="11" borderId="110" xfId="0" applyFont="1" applyFill="1" applyBorder="1" applyAlignment="1">
      <alignment horizontal="left" vertical="top" wrapText="1"/>
    </xf>
    <xf numFmtId="0" fontId="104" fillId="11" borderId="111" xfId="0" applyFont="1" applyFill="1" applyBorder="1" applyAlignment="1">
      <alignment horizontal="left" vertical="top" wrapText="1"/>
    </xf>
    <xf numFmtId="0" fontId="62" fillId="0" borderId="91" xfId="84" applyFont="1" applyBorder="1" applyAlignment="1">
      <alignment horizontal="center" vertical="center"/>
    </xf>
    <xf numFmtId="0" fontId="62" fillId="0" borderId="100" xfId="84" applyFont="1" applyBorder="1" applyAlignment="1">
      <alignment horizontal="center" vertical="center"/>
    </xf>
    <xf numFmtId="0" fontId="62" fillId="20" borderId="79" xfId="84" applyFont="1" applyFill="1" applyBorder="1" applyAlignment="1" applyProtection="1">
      <alignment horizontal="center" vertical="center"/>
      <protection locked="0"/>
    </xf>
    <xf numFmtId="0" fontId="62" fillId="12" borderId="101" xfId="84" applyFont="1" applyFill="1" applyBorder="1" applyAlignment="1">
      <alignment horizontal="center" vertical="center"/>
    </xf>
    <xf numFmtId="0" fontId="62" fillId="12" borderId="102" xfId="84" applyFont="1" applyFill="1" applyBorder="1" applyAlignment="1">
      <alignment horizontal="center" vertical="center"/>
    </xf>
    <xf numFmtId="2" fontId="62" fillId="12" borderId="88" xfId="84" applyNumberFormat="1" applyFont="1" applyFill="1" applyBorder="1" applyAlignment="1">
      <alignment horizontal="center" vertical="center"/>
    </xf>
    <xf numFmtId="2" fontId="62" fillId="12" borderId="89" xfId="84" applyNumberFormat="1" applyFont="1" applyFill="1" applyBorder="1" applyAlignment="1">
      <alignment horizontal="center" vertical="center"/>
    </xf>
    <xf numFmtId="2" fontId="62" fillId="12" borderId="90" xfId="84" applyNumberFormat="1" applyFont="1" applyFill="1" applyBorder="1" applyAlignment="1">
      <alignment horizontal="center" vertical="center"/>
    </xf>
    <xf numFmtId="0" fontId="104" fillId="11" borderId="108" xfId="0" applyFont="1" applyFill="1" applyBorder="1" applyAlignment="1">
      <alignment horizontal="left" vertical="top" wrapText="1"/>
    </xf>
    <xf numFmtId="4" fontId="62" fillId="20" borderId="95" xfId="84" applyNumberFormat="1" applyFont="1" applyFill="1" applyBorder="1" applyAlignment="1" applyProtection="1">
      <alignment horizontal="center" vertical="center"/>
      <protection locked="0"/>
    </xf>
    <xf numFmtId="4" fontId="62" fillId="20" borderId="96" xfId="84" applyNumberFormat="1" applyFont="1" applyFill="1" applyBorder="1" applyAlignment="1" applyProtection="1">
      <alignment horizontal="center" vertical="center"/>
      <protection locked="0"/>
    </xf>
    <xf numFmtId="4" fontId="62" fillId="20" borderId="97" xfId="84" applyNumberFormat="1" applyFont="1" applyFill="1" applyBorder="1" applyAlignment="1" applyProtection="1">
      <alignment horizontal="center" vertical="center"/>
      <protection locked="0"/>
    </xf>
    <xf numFmtId="4" fontId="62" fillId="20" borderId="92" xfId="84" applyNumberFormat="1" applyFont="1" applyFill="1" applyBorder="1" applyAlignment="1" applyProtection="1">
      <alignment horizontal="center" vertical="center"/>
      <protection locked="0"/>
    </xf>
    <xf numFmtId="4" fontId="62" fillId="20" borderId="93" xfId="84" applyNumberFormat="1" applyFont="1" applyFill="1" applyBorder="1" applyAlignment="1" applyProtection="1">
      <alignment horizontal="center" vertical="center"/>
      <protection locked="0"/>
    </xf>
    <xf numFmtId="4" fontId="62" fillId="20" borderId="94" xfId="84" applyNumberFormat="1" applyFont="1" applyFill="1" applyBorder="1" applyAlignment="1" applyProtection="1">
      <alignment horizontal="center" vertical="center"/>
      <protection locked="0"/>
    </xf>
    <xf numFmtId="0" fontId="104" fillId="11" borderId="115" xfId="0" applyFont="1" applyFill="1" applyBorder="1" applyAlignment="1">
      <alignment horizontal="left" vertical="top" wrapText="1"/>
    </xf>
    <xf numFmtId="0" fontId="72" fillId="22" borderId="66" xfId="84" applyFont="1" applyFill="1" applyBorder="1" applyAlignment="1">
      <alignment horizontal="left" vertical="center"/>
    </xf>
    <xf numFmtId="0" fontId="72" fillId="22" borderId="0" xfId="84" applyFont="1" applyFill="1" applyAlignment="1">
      <alignment horizontal="left" vertical="center"/>
    </xf>
    <xf numFmtId="0" fontId="104" fillId="11" borderId="103" xfId="0" applyFont="1" applyFill="1" applyBorder="1" applyAlignment="1">
      <alignment horizontal="left" vertical="top"/>
    </xf>
    <xf numFmtId="0" fontId="104" fillId="11" borderId="104" xfId="0" applyFont="1" applyFill="1" applyBorder="1" applyAlignment="1">
      <alignment horizontal="left" vertical="top"/>
    </xf>
    <xf numFmtId="0" fontId="104" fillId="11" borderId="105" xfId="0" applyFont="1" applyFill="1" applyBorder="1" applyAlignment="1">
      <alignment horizontal="left" vertical="top"/>
    </xf>
    <xf numFmtId="0" fontId="104" fillId="11" borderId="106" xfId="0" applyFont="1" applyFill="1" applyBorder="1" applyAlignment="1">
      <alignment horizontal="left" vertical="top" wrapText="1"/>
    </xf>
    <xf numFmtId="0" fontId="104" fillId="11" borderId="0" xfId="0" applyFont="1" applyFill="1" applyAlignment="1">
      <alignment horizontal="left" vertical="top" wrapText="1"/>
    </xf>
    <xf numFmtId="0" fontId="104" fillId="11" borderId="107" xfId="0" applyFont="1" applyFill="1" applyBorder="1" applyAlignment="1">
      <alignment horizontal="left" vertical="top" wrapText="1"/>
    </xf>
    <xf numFmtId="4" fontId="62" fillId="12" borderId="0" xfId="84" applyNumberFormat="1" applyFont="1" applyFill="1" applyAlignment="1">
      <alignment horizontal="center" vertical="center"/>
    </xf>
    <xf numFmtId="4" fontId="62" fillId="20" borderId="88" xfId="84" applyNumberFormat="1" applyFont="1" applyFill="1" applyBorder="1" applyAlignment="1" applyProtection="1">
      <alignment horizontal="center" vertical="center"/>
      <protection locked="0"/>
    </xf>
    <xf numFmtId="4" fontId="62" fillId="20" borderId="89" xfId="84" applyNumberFormat="1" applyFont="1" applyFill="1" applyBorder="1" applyAlignment="1" applyProtection="1">
      <alignment horizontal="center" vertical="center"/>
      <protection locked="0"/>
    </xf>
    <xf numFmtId="4" fontId="62" fillId="20" borderId="90" xfId="84" applyNumberFormat="1" applyFont="1" applyFill="1" applyBorder="1" applyAlignment="1" applyProtection="1">
      <alignment horizontal="center" vertical="center"/>
      <protection locked="0"/>
    </xf>
    <xf numFmtId="0" fontId="82" fillId="6" borderId="35" xfId="84" applyFont="1" applyFill="1" applyBorder="1" applyAlignment="1">
      <alignment horizontal="left" vertical="center"/>
    </xf>
    <xf numFmtId="2" fontId="62" fillId="13" borderId="35" xfId="84" applyNumberFormat="1" applyFont="1" applyFill="1" applyBorder="1" applyAlignment="1" applyProtection="1">
      <alignment horizontal="center" vertical="center" shrinkToFit="1"/>
      <protection locked="0"/>
    </xf>
    <xf numFmtId="0" fontId="75" fillId="11" borderId="26" xfId="90" applyFont="1" applyFill="1" applyBorder="1" applyAlignment="1" applyProtection="1">
      <alignment horizontal="left" vertical="center"/>
    </xf>
    <xf numFmtId="0" fontId="72" fillId="22" borderId="35" xfId="84" applyFont="1" applyFill="1" applyBorder="1" applyAlignment="1">
      <alignment horizontal="center" vertical="center"/>
    </xf>
    <xf numFmtId="0" fontId="82" fillId="6" borderId="35" xfId="84" applyFont="1" applyFill="1" applyBorder="1" applyAlignment="1">
      <alignment horizontal="left" vertical="center" wrapText="1"/>
    </xf>
    <xf numFmtId="0" fontId="72" fillId="22" borderId="35" xfId="84" quotePrefix="1" applyFont="1" applyFill="1" applyBorder="1" applyAlignment="1">
      <alignment horizontal="left" vertical="center"/>
    </xf>
    <xf numFmtId="0" fontId="62" fillId="11" borderId="45" xfId="91" applyAlignment="1">
      <alignment vertical="center" wrapText="1"/>
    </xf>
    <xf numFmtId="0" fontId="62" fillId="11" borderId="45" xfId="91">
      <alignment vertical="center"/>
    </xf>
    <xf numFmtId="0" fontId="86" fillId="9" borderId="33" xfId="84" applyFont="1" applyFill="1" applyBorder="1" applyAlignment="1">
      <alignment horizontal="center" vertical="top" wrapText="1"/>
    </xf>
    <xf numFmtId="0" fontId="86" fillId="9" borderId="32" xfId="84" applyFont="1" applyFill="1" applyBorder="1" applyAlignment="1">
      <alignment horizontal="center" vertical="top" wrapText="1"/>
    </xf>
    <xf numFmtId="0" fontId="86" fillId="9" borderId="31" xfId="84" applyFont="1" applyFill="1" applyBorder="1" applyAlignment="1">
      <alignment horizontal="center" vertical="top" wrapText="1"/>
    </xf>
    <xf numFmtId="0" fontId="71" fillId="0" borderId="56" xfId="84" applyFont="1" applyBorder="1" applyAlignment="1">
      <alignment wrapText="1"/>
    </xf>
    <xf numFmtId="0" fontId="71" fillId="0" borderId="46" xfId="84" applyFont="1" applyBorder="1" applyAlignment="1">
      <alignment wrapText="1"/>
    </xf>
    <xf numFmtId="0" fontId="71" fillId="0" borderId="56" xfId="84" applyFont="1" applyBorder="1" applyAlignment="1">
      <alignment horizontal="center"/>
    </xf>
    <xf numFmtId="0" fontId="71" fillId="0" borderId="46" xfId="84" applyFont="1" applyBorder="1" applyAlignment="1">
      <alignment horizontal="center"/>
    </xf>
    <xf numFmtId="0" fontId="86" fillId="9" borderId="56" xfId="84" applyFont="1" applyFill="1" applyBorder="1" applyAlignment="1">
      <alignment horizontal="center" wrapText="1"/>
    </xf>
    <xf numFmtId="0" fontId="86" fillId="9" borderId="46" xfId="84" applyFont="1" applyFill="1" applyBorder="1" applyAlignment="1">
      <alignment horizontal="center" wrapText="1"/>
    </xf>
    <xf numFmtId="0" fontId="86" fillId="0" borderId="57" xfId="84" applyFont="1" applyBorder="1" applyAlignment="1">
      <alignment horizontal="center"/>
    </xf>
    <xf numFmtId="173" fontId="45" fillId="0" borderId="39" xfId="84" applyNumberFormat="1" applyBorder="1" applyAlignment="1">
      <alignment horizontal="center"/>
    </xf>
    <xf numFmtId="180" fontId="45" fillId="0" borderId="0" xfId="84" applyNumberFormat="1" applyAlignment="1">
      <alignment horizontal="center"/>
    </xf>
    <xf numFmtId="0" fontId="45" fillId="0" borderId="0" xfId="84" applyAlignment="1">
      <alignment horizontal="center"/>
    </xf>
    <xf numFmtId="0" fontId="86" fillId="9" borderId="33" xfId="84" applyFont="1" applyFill="1" applyBorder="1" applyAlignment="1">
      <alignment horizontal="center" wrapText="1"/>
    </xf>
    <xf numFmtId="0" fontId="86" fillId="9" borderId="31" xfId="84" applyFont="1" applyFill="1" applyBorder="1" applyAlignment="1">
      <alignment horizontal="center" wrapText="1"/>
    </xf>
    <xf numFmtId="0" fontId="86" fillId="9" borderId="32" xfId="84" applyFont="1" applyFill="1" applyBorder="1" applyAlignment="1">
      <alignment horizontal="center" wrapText="1"/>
    </xf>
    <xf numFmtId="0" fontId="86" fillId="9" borderId="25" xfId="84" applyFont="1" applyFill="1" applyBorder="1" applyAlignment="1">
      <alignment horizontal="center" wrapText="1"/>
    </xf>
    <xf numFmtId="0" fontId="86" fillId="9" borderId="23" xfId="84" applyFont="1" applyFill="1" applyBorder="1" applyAlignment="1">
      <alignment horizontal="center" wrapText="1"/>
    </xf>
    <xf numFmtId="0" fontId="86" fillId="9" borderId="58" xfId="84" applyFont="1" applyFill="1" applyBorder="1" applyAlignment="1">
      <alignment horizontal="center" wrapText="1"/>
    </xf>
    <xf numFmtId="0" fontId="86" fillId="9" borderId="53" xfId="84" applyFont="1" applyFill="1" applyBorder="1" applyAlignment="1">
      <alignment horizontal="center" wrapText="1"/>
    </xf>
    <xf numFmtId="0" fontId="86" fillId="9" borderId="24" xfId="84" applyFont="1" applyFill="1" applyBorder="1" applyAlignment="1">
      <alignment horizontal="center" wrapText="1"/>
    </xf>
    <xf numFmtId="0" fontId="86" fillId="9" borderId="57" xfId="84" applyFont="1" applyFill="1" applyBorder="1" applyAlignment="1">
      <alignment horizontal="center" wrapText="1"/>
    </xf>
  </cellXfs>
  <cellStyles count="102">
    <cellStyle name="Comma" xfId="82" builtinId="3"/>
    <cellStyle name="Comma 2" xfId="88" xr:uid="{A12BBEAD-BCF8-49CE-B705-0DF73C2E90BA}"/>
    <cellStyle name="Currency" xfId="96" builtinId="4"/>
    <cellStyle name="Currency 2" xfId="86" xr:uid="{48E9535A-4BBB-4913-A356-80C910C0DABD}"/>
    <cellStyle name="Followed Hyperlink" xfId="72" builtinId="9" hidden="1"/>
    <cellStyle name="Followed Hyperlink" xfId="76" builtinId="9" hidden="1"/>
    <cellStyle name="Followed Hyperlink" xfId="80" builtinId="9" hidden="1"/>
    <cellStyle name="Followed Hyperlink" xfId="78" builtinId="9" hidden="1"/>
    <cellStyle name="Followed Hyperlink" xfId="74" builtinId="9" hidden="1"/>
    <cellStyle name="Followed Hyperlink" xfId="70" builtinId="9" hidden="1"/>
    <cellStyle name="Followed Hyperlink" xfId="24" builtinId="9" hidden="1"/>
    <cellStyle name="Followed Hyperlink" xfId="28" builtinId="9" hidden="1"/>
    <cellStyle name="Followed Hyperlink" xfId="30" builtinId="9" hidden="1"/>
    <cellStyle name="Followed Hyperlink" xfId="32" builtinId="9" hidden="1"/>
    <cellStyle name="Followed Hyperlink" xfId="36" builtinId="9" hidden="1"/>
    <cellStyle name="Followed Hyperlink" xfId="38" builtinId="9" hidden="1"/>
    <cellStyle name="Followed Hyperlink" xfId="40" builtinId="9" hidden="1"/>
    <cellStyle name="Followed Hyperlink" xfId="44" builtinId="9" hidden="1"/>
    <cellStyle name="Followed Hyperlink" xfId="46" builtinId="9" hidden="1"/>
    <cellStyle name="Followed Hyperlink" xfId="48" builtinId="9" hidden="1"/>
    <cellStyle name="Followed Hyperlink" xfId="52" builtinId="9" hidden="1"/>
    <cellStyle name="Followed Hyperlink" xfId="54" builtinId="9" hidden="1"/>
    <cellStyle name="Followed Hyperlink" xfId="56" builtinId="9" hidden="1"/>
    <cellStyle name="Followed Hyperlink" xfId="60" builtinId="9" hidden="1"/>
    <cellStyle name="Followed Hyperlink" xfId="62" builtinId="9" hidden="1"/>
    <cellStyle name="Followed Hyperlink" xfId="64" builtinId="9" hidden="1"/>
    <cellStyle name="Followed Hyperlink" xfId="68" builtinId="9" hidden="1"/>
    <cellStyle name="Followed Hyperlink" xfId="66" builtinId="9" hidden="1"/>
    <cellStyle name="Followed Hyperlink" xfId="58" builtinId="9" hidden="1"/>
    <cellStyle name="Followed Hyperlink" xfId="50" builtinId="9" hidden="1"/>
    <cellStyle name="Followed Hyperlink" xfId="42" builtinId="9" hidden="1"/>
    <cellStyle name="Followed Hyperlink" xfId="34" builtinId="9" hidden="1"/>
    <cellStyle name="Followed Hyperlink" xfId="26"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10" builtinId="9" hidden="1"/>
    <cellStyle name="Followed Hyperlink" xfId="6" builtinId="9" hidden="1"/>
    <cellStyle name="Followed Hyperlink" xfId="8" builtinId="9" hidden="1"/>
    <cellStyle name="Followed Hyperlink" xfId="4" builtinId="9" hidden="1"/>
    <cellStyle name="Followed Hyperlink" xfId="2" builtinId="9" hidden="1"/>
    <cellStyle name="Good" xfId="100" builtinId="26"/>
    <cellStyle name="Guide 2" xfId="91" xr:uid="{DC938552-4938-476D-9EEF-8BB3938764CC}"/>
    <cellStyle name="Heading 1" xfId="97" builtinId="16"/>
    <cellStyle name="Hyperlink" xfId="55" builtinId="8" hidden="1"/>
    <cellStyle name="Hyperlink" xfId="57" builtinId="8" hidden="1"/>
    <cellStyle name="Hyperlink" xfId="61" builtinId="8" hidden="1"/>
    <cellStyle name="Hyperlink" xfId="63" builtinId="8" hidden="1"/>
    <cellStyle name="Hyperlink" xfId="65" builtinId="8" hidden="1"/>
    <cellStyle name="Hyperlink" xfId="69" builtinId="8" hidden="1"/>
    <cellStyle name="Hyperlink" xfId="71" builtinId="8" hidden="1"/>
    <cellStyle name="Hyperlink" xfId="73" builtinId="8" hidden="1"/>
    <cellStyle name="Hyperlink" xfId="77" builtinId="8" hidden="1"/>
    <cellStyle name="Hyperlink" xfId="79" builtinId="8" hidden="1"/>
    <cellStyle name="Hyperlink" xfId="75" builtinId="8" hidden="1"/>
    <cellStyle name="Hyperlink" xfId="67" builtinId="8" hidden="1"/>
    <cellStyle name="Hyperlink" xfId="59" builtinId="8" hidden="1"/>
    <cellStyle name="Hyperlink" xfId="23" builtinId="8" hidden="1"/>
    <cellStyle name="Hyperlink" xfId="25"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43" builtinId="8" hidden="1"/>
    <cellStyle name="Hyperlink" xfId="27"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5" builtinId="8" hidden="1"/>
    <cellStyle name="Hyperlink" xfId="7" builtinId="8" hidden="1"/>
    <cellStyle name="Hyperlink" xfId="9" builtinId="8" hidden="1"/>
    <cellStyle name="Hyperlink" xfId="3" builtinId="8" hidden="1"/>
    <cellStyle name="Hyperlink" xfId="1" builtinId="8" hidden="1"/>
    <cellStyle name="Hyperlink" xfId="98" builtinId="8"/>
    <cellStyle name="Hyperlink 2" xfId="90" xr:uid="{D80E7DEB-BF43-4C40-B277-BD69021E181E}"/>
    <cellStyle name="Hyperlink 3" xfId="95" xr:uid="{AE1CE98B-9FF5-4206-8045-ED5AEF4BF1F6}"/>
    <cellStyle name="Neutral" xfId="101" builtinId="28"/>
    <cellStyle name="Normal" xfId="0" builtinId="0"/>
    <cellStyle name="Normal 2" xfId="81" xr:uid="{9536E22F-F561-47B5-B69F-4DEF154759D8}"/>
    <cellStyle name="Normal 2 2" xfId="84" xr:uid="{5749FFBF-9983-4708-946C-EFFF6D9E8AC1}"/>
    <cellStyle name="Normal 2 3" xfId="87" xr:uid="{235FE15D-5045-40A8-89CD-F9E09DB4D66E}"/>
    <cellStyle name="Normal 3" xfId="92" xr:uid="{1D643F36-E354-418C-98F2-521475E2B5E9}"/>
    <cellStyle name="Normal 3 2" xfId="93" xr:uid="{DDAC7F30-9272-45E8-9346-AFDE749BD2D6}"/>
    <cellStyle name="Normal 3 3" xfId="94" xr:uid="{C29FE08E-AA36-4563-BD16-CDD3C0284C31}"/>
    <cellStyle name="Normal 4" xfId="85" xr:uid="{2B503718-233B-4094-8BC1-130161330E56}"/>
    <cellStyle name="Normal 5" xfId="99" xr:uid="{56CD14D5-0B19-415D-AB81-109F060822B7}"/>
    <cellStyle name="Percent" xfId="83" builtinId="5"/>
    <cellStyle name="Percent 2" xfId="89" xr:uid="{26281F73-04E5-448F-AAE2-179826EC63C2}"/>
  </cellStyles>
  <dxfs count="6">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border diagonalUp="0" diagonalDown="0">
        <left/>
        <right/>
        <top style="thin">
          <color theme="0"/>
        </top>
        <bottom style="thin">
          <color theme="0"/>
        </bottom>
      </border>
    </dxf>
    <dxf>
      <border outline="0">
        <bottom style="thin">
          <color theme="0"/>
        </bottom>
      </border>
    </dxf>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dxf>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border diagonalUp="0" diagonalDown="0">
        <left/>
        <right/>
        <top style="thin">
          <color theme="0"/>
        </top>
        <bottom style="thin">
          <color theme="0"/>
        </bottom>
      </border>
    </dxf>
    <dxf>
      <border outline="0">
        <bottom style="thin">
          <color theme="0"/>
        </bottom>
      </border>
    </dxf>
    <dxf>
      <font>
        <b val="0"/>
        <i val="0"/>
        <strike val="0"/>
        <condense val="0"/>
        <extend val="0"/>
        <outline val="0"/>
        <shadow val="0"/>
        <u val="none"/>
        <vertAlign val="baseline"/>
        <sz val="12"/>
        <color theme="1"/>
        <name val="Calibri"/>
        <scheme val="minor"/>
      </font>
      <fill>
        <patternFill patternType="solid">
          <fgColor theme="4" tint="0.59999389629810485"/>
          <bgColor theme="4" tint="0.59999389629810485"/>
        </patternFill>
      </fill>
    </dxf>
  </dxfs>
  <tableStyles count="0" defaultTableStyle="TableStyleMedium9" defaultPivotStyle="PivotStyleMedium4"/>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1818640</xdr:colOff>
      <xdr:row>14</xdr:row>
      <xdr:rowOff>375920</xdr:rowOff>
    </xdr:from>
    <xdr:to>
      <xdr:col>2</xdr:col>
      <xdr:colOff>1158240</xdr:colOff>
      <xdr:row>15</xdr:row>
      <xdr:rowOff>0</xdr:rowOff>
    </xdr:to>
    <xdr:sp macro="[0]!InsertCopyRow1" textlink="">
      <xdr:nvSpPr>
        <xdr:cNvPr id="3" name="TextBox 2">
          <a:extLst>
            <a:ext uri="{FF2B5EF4-FFF2-40B4-BE49-F238E27FC236}">
              <a16:creationId xmlns:a16="http://schemas.microsoft.com/office/drawing/2014/main" id="{00000000-0008-0000-0000-000003000000}"/>
            </a:ext>
          </a:extLst>
        </xdr:cNvPr>
        <xdr:cNvSpPr txBox="1"/>
      </xdr:nvSpPr>
      <xdr:spPr>
        <a:xfrm>
          <a:off x="2052320" y="2956560"/>
          <a:ext cx="1320800" cy="518160"/>
        </a:xfrm>
        <a:prstGeom prst="rect">
          <a:avLst/>
        </a:prstGeom>
        <a:solidFill>
          <a:schemeClr val="tx2">
            <a:lumMod val="60000"/>
            <a:lumOff val="40000"/>
          </a:schemeClr>
        </a:solid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000" b="0" i="0">
              <a:solidFill>
                <a:schemeClr val="bg1"/>
              </a:solidFill>
              <a:latin typeface="Calibri"/>
            </a:rPr>
            <a:t>Select</a:t>
          </a:r>
          <a:r>
            <a:rPr lang="en-US" sz="1000" b="0" i="0" baseline="0">
              <a:solidFill>
                <a:schemeClr val="bg1"/>
              </a:solidFill>
              <a:latin typeface="Calibri"/>
            </a:rPr>
            <a:t> the </a:t>
          </a:r>
          <a:r>
            <a:rPr lang="en-US" sz="1000" b="0" i="0">
              <a:solidFill>
                <a:schemeClr val="bg1"/>
              </a:solidFill>
              <a:latin typeface="Calibri"/>
            </a:rPr>
            <a:t>row above and click to insert new row</a:t>
          </a:r>
        </a:p>
      </xdr:txBody>
    </xdr:sp>
    <xdr:clientData/>
  </xdr:twoCellAnchor>
  <mc:AlternateContent xmlns:mc="http://schemas.openxmlformats.org/markup-compatibility/2006">
    <mc:Choice xmlns:a14="http://schemas.microsoft.com/office/drawing/2010/main" Requires="a14">
      <xdr:twoCellAnchor editAs="oneCell">
        <xdr:from>
          <xdr:col>8</xdr:col>
          <xdr:colOff>822960</xdr:colOff>
          <xdr:row>2</xdr:row>
          <xdr:rowOff>289560</xdr:rowOff>
        </xdr:from>
        <xdr:to>
          <xdr:col>8</xdr:col>
          <xdr:colOff>1203960</xdr:colOff>
          <xdr:row>2</xdr:row>
          <xdr:rowOff>609600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3</xdr:col>
      <xdr:colOff>2191962</xdr:colOff>
      <xdr:row>31</xdr:row>
      <xdr:rowOff>56169</xdr:rowOff>
    </xdr:to>
    <xdr:pic>
      <xdr:nvPicPr>
        <xdr:cNvPr id="2" name="Picture 1" descr="Table&#10;&#10;Description automatically generated">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stretch>
          <a:fillRect/>
        </a:stretch>
      </xdr:blipFill>
      <xdr:spPr>
        <a:xfrm>
          <a:off x="276225" y="7934325"/>
          <a:ext cx="4001712" cy="1351569"/>
        </a:xfrm>
        <a:prstGeom prst="rect">
          <a:avLst/>
        </a:prstGeom>
      </xdr:spPr>
    </xdr:pic>
    <xdr:clientData/>
  </xdr:twoCellAnchor>
  <xdr:twoCellAnchor editAs="oneCell">
    <xdr:from>
      <xdr:col>1</xdr:col>
      <xdr:colOff>0</xdr:colOff>
      <xdr:row>33</xdr:row>
      <xdr:rowOff>0</xdr:rowOff>
    </xdr:from>
    <xdr:to>
      <xdr:col>5</xdr:col>
      <xdr:colOff>864589</xdr:colOff>
      <xdr:row>57</xdr:row>
      <xdr:rowOff>141452</xdr:rowOff>
    </xdr:to>
    <xdr:pic>
      <xdr:nvPicPr>
        <xdr:cNvPr id="4" name="Picture 3" descr="Graphical user interface, table&#10;&#10;Description automatically generated">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2"/>
        <a:stretch>
          <a:fillRect/>
        </a:stretch>
      </xdr:blipFill>
      <xdr:spPr>
        <a:xfrm>
          <a:off x="276225" y="9553575"/>
          <a:ext cx="6130552" cy="403581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57326E0-29CB-42F0-AD65-16B169A96799}" name="Table393" displayName="Table393" ref="C8:C73" totalsRowShown="0" dataDxfId="5" tableBorderDxfId="4">
  <autoFilter ref="C8:C73" xr:uid="{B1A56325-0761-466F-B055-3CE24CCDF249}"/>
  <tableColumns count="1">
    <tableColumn id="1" xr3:uid="{F42C1F80-5E9E-45DE-A213-E4984358F9ED}" name="Measures"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5000000}" name="Table39" displayName="Table39" ref="A12:A97" totalsRowShown="0" dataDxfId="2" tableBorderDxfId="1">
  <autoFilter ref="A12:A97" xr:uid="{00000000-0009-0000-0100-000027000000}"/>
  <tableColumns count="1">
    <tableColumn id="1" xr3:uid="{00000000-0010-0000-0500-000001000000}" name="Measures" dataDxfId="0"/>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le8" displayName="Table8" ref="I1:I10" totalsRowShown="0">
  <autoFilter ref="I1:I10" xr:uid="{00000000-0009-0000-0100-000008000000}"/>
  <tableColumns count="1">
    <tableColumn id="1" xr3:uid="{00000000-0010-0000-0400-000001000000}" name="Inclusive access benefits"/>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7" displayName="Table7" ref="G1:G6" totalsRowShown="0">
  <autoFilter ref="G1:G6" xr:uid="{00000000-0009-0000-0100-000007000000}"/>
  <tableColumns count="1">
    <tableColumn id="1" xr3:uid="{00000000-0010-0000-0300-000001000000}" name="Environmental sustainability benefit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6" displayName="Table6" ref="E1:E8" totalsRowShown="0">
  <autoFilter ref="E1:E8" xr:uid="{00000000-0009-0000-0100-000006000000}"/>
  <tableColumns count="1">
    <tableColumn id="1" xr3:uid="{00000000-0010-0000-0200-000001000000}" name="Economic Prosperity benefits"/>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C1:C3" totalsRowShown="0">
  <autoFilter ref="C1:C3" xr:uid="{00000000-0009-0000-0100-000005000000}"/>
  <tableColumns count="1">
    <tableColumn id="1" xr3:uid="{00000000-0010-0000-0100-000001000000}" name="Resilience and security benefits"/>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8" totalsRowShown="0">
  <autoFilter ref="A1:A8" xr:uid="{00000000-0009-0000-0100-000001000000}"/>
  <tableColumns count="1">
    <tableColumn id="1" xr3:uid="{00000000-0010-0000-0000-000001000000}" name="Healthy and safe people benefits"/>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nzta.govt.nz/resources/monetised-benefits-and-costs-manual" TargetMode="External"/><Relationship Id="rId2" Type="http://schemas.openxmlformats.org/officeDocument/2006/relationships/hyperlink" Target="https://www.nzta.govt.nz/resources/monetised-benefits-and-costs-manual" TargetMode="External"/><Relationship Id="rId1" Type="http://schemas.openxmlformats.org/officeDocument/2006/relationships/hyperlink" Target="https://www.nzta.govt.nz/assets/resources/economic-evaluation-manual/economic-evaluation-manual/docs/eem-manual-2016.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www.nzta.govt.nz/assets/resources/monetised-benefits-and-costs-manual/crash-risk-factors-guidelines-compendium.pdf" TargetMode="External"/><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nzta.govt.nz/resources/monetised-benefits-and-costs-manual" TargetMode="External"/><Relationship Id="rId1" Type="http://schemas.openxmlformats.org/officeDocument/2006/relationships/hyperlink" Target="https://www.nzta.govt.nz/assets/resources/economic-evaluation-manual/economic-evaluation-manual/docs/eem-manual-2016.pdf"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nzta.govt.nz/resources/monetised-benefits-and-costs-manual" TargetMode="External"/><Relationship Id="rId1" Type="http://schemas.openxmlformats.org/officeDocument/2006/relationships/hyperlink" Target="https://www.nzta.govt.nz/assets/resources/economic-evaluation-manual/economic-evaluation-manual/docs/eem-manual-2016.pdf"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nzta.govt.nz/resources/monetised-benefits-and-costs-manual" TargetMode="External"/><Relationship Id="rId1" Type="http://schemas.openxmlformats.org/officeDocument/2006/relationships/hyperlink" Target="https://www.nzta.govt.nz/resources/economic-evaluation-manua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T37"/>
  <sheetViews>
    <sheetView showGridLines="0" topLeftCell="A19" zoomScale="80" zoomScaleNormal="80" workbookViewId="0">
      <selection activeCell="G27" sqref="G27"/>
    </sheetView>
  </sheetViews>
  <sheetFormatPr defaultColWidth="11" defaultRowHeight="15.6"/>
  <cols>
    <col min="1" max="1" width="4.5" customWidth="1"/>
    <col min="2" max="2" width="26" style="1" customWidth="1"/>
    <col min="3" max="3" width="41.796875" style="1" customWidth="1"/>
    <col min="4" max="4" width="32" style="1" customWidth="1"/>
    <col min="5" max="9" width="26" style="1" customWidth="1"/>
    <col min="10" max="10" width="15.19921875" style="1" bestFit="1" customWidth="1"/>
    <col min="11" max="11" width="11" style="1"/>
    <col min="12" max="12" width="13.69921875" style="1" bestFit="1" customWidth="1"/>
    <col min="13" max="13" width="11" style="1"/>
    <col min="14" max="14" width="12.69921875" bestFit="1" customWidth="1"/>
  </cols>
  <sheetData>
    <row r="1" spans="2:20" ht="33" customHeight="1" thickBot="1"/>
    <row r="2" spans="2:20" ht="66" customHeight="1" thickBot="1">
      <c r="B2" s="510" t="s">
        <v>0</v>
      </c>
      <c r="C2" s="511"/>
      <c r="D2" s="511"/>
      <c r="E2" s="511"/>
      <c r="F2" s="511"/>
      <c r="G2" s="511"/>
      <c r="H2" s="511"/>
      <c r="I2" s="512"/>
      <c r="J2" t="s">
        <v>1</v>
      </c>
      <c r="K2"/>
      <c r="L2"/>
      <c r="M2"/>
    </row>
    <row r="3" spans="2:20" ht="57" customHeight="1" thickTop="1" thickBot="1">
      <c r="B3" s="289" t="s">
        <v>2</v>
      </c>
      <c r="C3" s="290">
        <f ca="1">NOW()</f>
        <v>45358.611387152778</v>
      </c>
      <c r="D3" s="291" t="s">
        <v>3</v>
      </c>
      <c r="E3" s="292" t="str">
        <f>_xlfn.CONCAT(_xlfn.VALUETOTEXT('SP11-1'!I26)," - ",_xlfn.VALUETOTEXT('SP11-1'!I26+'SP11-1'!I28))</f>
        <v xml:space="preserve"> - 0</v>
      </c>
      <c r="F3" s="293" t="s">
        <v>4</v>
      </c>
      <c r="G3" s="523"/>
      <c r="H3" s="523"/>
      <c r="I3" s="491" t="s">
        <v>5</v>
      </c>
      <c r="J3" s="287" t="s">
        <v>6</v>
      </c>
      <c r="K3"/>
      <c r="L3" s="14"/>
      <c r="M3" s="14"/>
      <c r="N3" s="14"/>
      <c r="O3" s="14"/>
      <c r="P3" s="14"/>
      <c r="Q3" s="14"/>
      <c r="R3" s="14"/>
      <c r="S3" s="14"/>
      <c r="T3" s="14"/>
    </row>
    <row r="4" spans="2:20" s="3" customFormat="1" ht="28.05" customHeight="1" thickTop="1">
      <c r="B4" s="513" t="s">
        <v>7</v>
      </c>
      <c r="C4" s="514"/>
      <c r="D4" s="519" t="s">
        <v>8</v>
      </c>
      <c r="E4" s="520"/>
      <c r="F4" s="519" t="s">
        <v>9</v>
      </c>
      <c r="G4" s="520"/>
      <c r="H4" s="519" t="s">
        <v>10</v>
      </c>
      <c r="I4" s="521"/>
      <c r="J4" s="14"/>
      <c r="K4" s="14"/>
      <c r="L4" s="14"/>
      <c r="M4" s="14"/>
      <c r="N4" s="14"/>
      <c r="O4" s="14"/>
      <c r="P4" s="14"/>
      <c r="Q4" s="14"/>
      <c r="R4" s="14"/>
      <c r="S4" s="14"/>
      <c r="T4" s="14"/>
    </row>
    <row r="5" spans="2:20" s="12" customFormat="1" ht="28.05" customHeight="1">
      <c r="B5" s="515" t="s">
        <v>11</v>
      </c>
      <c r="C5" s="516"/>
      <c r="D5" s="517" t="s">
        <v>11</v>
      </c>
      <c r="E5" s="518"/>
      <c r="F5" s="517" t="s">
        <v>11</v>
      </c>
      <c r="G5" s="518"/>
      <c r="H5" s="517" t="s">
        <v>11</v>
      </c>
      <c r="I5" s="522"/>
    </row>
    <row r="6" spans="2:20" s="12" customFormat="1" ht="28.05" customHeight="1">
      <c r="B6" s="294"/>
      <c r="C6" s="268"/>
      <c r="D6" s="268"/>
      <c r="E6" s="268"/>
      <c r="F6" s="268"/>
      <c r="G6" s="268"/>
      <c r="H6" s="268"/>
      <c r="I6" s="295"/>
    </row>
    <row r="7" spans="2:20" s="8" customFormat="1" ht="51" customHeight="1">
      <c r="B7" s="526" t="s">
        <v>12</v>
      </c>
      <c r="C7" s="527"/>
      <c r="D7" s="528"/>
      <c r="E7" s="502" t="s">
        <v>13</v>
      </c>
      <c r="F7" s="503"/>
      <c r="G7" s="502" t="s">
        <v>14</v>
      </c>
      <c r="H7" s="524"/>
      <c r="I7" s="525"/>
      <c r="J7" s="6"/>
      <c r="K7" s="6"/>
    </row>
    <row r="8" spans="2:20" s="7" customFormat="1" ht="35.1" customHeight="1">
      <c r="B8" s="515" t="s">
        <v>15</v>
      </c>
      <c r="C8" s="516"/>
      <c r="D8" s="531"/>
      <c r="E8" s="504" t="s">
        <v>16</v>
      </c>
      <c r="F8" s="506">
        <f>'SP11-3 (1)'!K8</f>
        <v>0</v>
      </c>
      <c r="G8" s="529" t="s">
        <v>921</v>
      </c>
      <c r="H8" s="529"/>
      <c r="I8" s="448">
        <f>'SP11-1'!J62</f>
        <v>0</v>
      </c>
      <c r="J8" s="4"/>
      <c r="K8" s="4"/>
    </row>
    <row r="9" spans="2:20" s="4" customFormat="1" ht="35.1" customHeight="1">
      <c r="B9" s="532"/>
      <c r="C9" s="533"/>
      <c r="D9" s="534"/>
      <c r="E9" s="505"/>
      <c r="F9" s="507"/>
      <c r="G9" s="530"/>
      <c r="H9" s="530"/>
      <c r="I9" s="447"/>
    </row>
    <row r="10" spans="2:20" s="4" customFormat="1" ht="35.1" customHeight="1">
      <c r="B10" s="532"/>
      <c r="C10" s="533"/>
      <c r="D10" s="534"/>
      <c r="E10" s="504" t="s">
        <v>18</v>
      </c>
      <c r="F10" s="506">
        <f>'SP11-3 (1)'!Q11+'SP11-3 (1)'!K14*('SP11-1'!I28-1)+SUM('SP11-3 (1)'!K20:M28)+'SP11-3 (1)'!K32*('SP11-1'!I28-1)</f>
        <v>0</v>
      </c>
      <c r="G10" s="538" t="s">
        <v>19</v>
      </c>
      <c r="H10" s="538"/>
      <c r="I10" s="308">
        <f>'SP11-1'!J63</f>
        <v>0</v>
      </c>
    </row>
    <row r="11" spans="2:20" s="4" customFormat="1" ht="35.1" customHeight="1">
      <c r="B11" s="532"/>
      <c r="C11" s="533"/>
      <c r="D11" s="534"/>
      <c r="E11" s="505"/>
      <c r="F11" s="507"/>
      <c r="G11" s="529" t="s">
        <v>922</v>
      </c>
      <c r="H11" s="529"/>
      <c r="I11" s="450">
        <f>'SP11-1'!M62</f>
        <v>0</v>
      </c>
    </row>
    <row r="12" spans="2:20" s="4" customFormat="1" ht="57" customHeight="1">
      <c r="B12" s="535"/>
      <c r="C12" s="536"/>
      <c r="D12" s="537"/>
      <c r="E12" s="267" t="s">
        <v>20</v>
      </c>
      <c r="F12" s="307">
        <f>F8+F10</f>
        <v>0</v>
      </c>
      <c r="G12" s="530"/>
      <c r="H12" s="530"/>
      <c r="I12" s="449"/>
    </row>
    <row r="13" spans="2:20" s="4" customFormat="1" ht="25.05" customHeight="1">
      <c r="B13" s="542"/>
      <c r="C13" s="543"/>
      <c r="I13" s="296"/>
    </row>
    <row r="14" spans="2:20" s="3" customFormat="1" ht="43.05" customHeight="1">
      <c r="B14" s="500" t="s">
        <v>21</v>
      </c>
      <c r="C14" s="501"/>
      <c r="D14" s="553" t="s">
        <v>22</v>
      </c>
      <c r="E14" s="554"/>
      <c r="F14" s="554"/>
      <c r="G14" s="555"/>
      <c r="H14" s="556" t="s">
        <v>23</v>
      </c>
      <c r="I14" s="557"/>
      <c r="J14" s="2"/>
      <c r="K14" s="2"/>
      <c r="L14" s="2"/>
      <c r="M14" s="2"/>
    </row>
    <row r="15" spans="2:20" s="6" customFormat="1" ht="28.05" customHeight="1">
      <c r="B15" s="558" t="s">
        <v>24</v>
      </c>
      <c r="C15" s="559"/>
      <c r="D15" s="5" t="s">
        <v>25</v>
      </c>
      <c r="E15" s="5" t="s">
        <v>26</v>
      </c>
      <c r="F15" s="5" t="s">
        <v>27</v>
      </c>
      <c r="G15" s="5" t="s">
        <v>28</v>
      </c>
      <c r="H15" s="5" t="s">
        <v>27</v>
      </c>
      <c r="I15" s="297" t="s">
        <v>28</v>
      </c>
      <c r="J15" s="4"/>
      <c r="L15" s="91"/>
      <c r="M15" s="91"/>
      <c r="N15" s="91"/>
      <c r="O15" s="4"/>
      <c r="P15" s="4"/>
      <c r="Q15" s="4"/>
      <c r="R15" s="4"/>
      <c r="S15" s="4"/>
    </row>
    <row r="16" spans="2:20" ht="28.05" customHeight="1">
      <c r="B16" s="298" t="s">
        <v>29</v>
      </c>
      <c r="C16" s="25"/>
      <c r="I16" s="299"/>
      <c r="J16" s="4"/>
      <c r="K16"/>
      <c r="L16" s="4"/>
      <c r="M16" s="4"/>
      <c r="N16" s="4"/>
      <c r="O16" s="4"/>
      <c r="P16" s="4"/>
      <c r="Q16" s="4"/>
      <c r="R16" s="4"/>
      <c r="S16" s="4"/>
    </row>
    <row r="17" spans="2:18" s="4" customFormat="1" ht="28.05" customHeight="1">
      <c r="B17" s="549" t="s">
        <v>30</v>
      </c>
      <c r="C17" s="550"/>
      <c r="D17" s="87" t="s">
        <v>31</v>
      </c>
      <c r="E17" s="17" t="s">
        <v>17</v>
      </c>
      <c r="F17" s="443"/>
      <c r="G17" s="444"/>
      <c r="H17" s="445">
        <f>-'SP11-6'!J29*Conversion!$B$11</f>
        <v>0</v>
      </c>
      <c r="I17" s="300">
        <f>(('SP11-5'!J52+'SP11-5'!J56)/'SP11-5'!G56)*('SP11-1'!$I$41*720+'SP11-1'!$I$28-1)</f>
        <v>0</v>
      </c>
      <c r="L17" s="95"/>
      <c r="M17" s="96"/>
      <c r="N17" s="94"/>
    </row>
    <row r="18" spans="2:18" s="4" customFormat="1" ht="28.05" customHeight="1">
      <c r="B18" s="551" t="s">
        <v>32</v>
      </c>
      <c r="C18" s="552"/>
      <c r="D18" s="13" t="s">
        <v>33</v>
      </c>
      <c r="E18" s="17" t="s">
        <v>17</v>
      </c>
      <c r="F18" s="492" t="s">
        <v>11</v>
      </c>
      <c r="G18" s="493" t="s">
        <v>11</v>
      </c>
      <c r="H18" s="445">
        <v>0</v>
      </c>
      <c r="I18" s="300">
        <f>(('SP11-5'!J12+'SP11-5'!J26+'SP11-5'!J33+'SP11-5'!J46)/'SP11-5'!G56)*('SP11-1'!$I$41*720+'SP11-1'!$I$28-1)</f>
        <v>0</v>
      </c>
      <c r="L18" s="95"/>
      <c r="M18" s="96"/>
      <c r="N18" s="90"/>
    </row>
    <row r="19" spans="2:18" ht="28.05" customHeight="1">
      <c r="B19" s="298" t="s">
        <v>34</v>
      </c>
      <c r="C19" s="26"/>
      <c r="D19" s="288"/>
      <c r="E19" s="288"/>
      <c r="F19" s="288"/>
      <c r="G19" s="288"/>
      <c r="H19" s="288"/>
      <c r="I19" s="301"/>
      <c r="K19"/>
      <c r="M19" s="4"/>
      <c r="N19" s="4"/>
    </row>
    <row r="20" spans="2:18" ht="28.05" customHeight="1">
      <c r="B20" s="547"/>
      <c r="C20" s="548"/>
      <c r="D20" s="13"/>
      <c r="E20" s="17" t="s">
        <v>17</v>
      </c>
      <c r="F20" s="494" t="s">
        <v>11</v>
      </c>
      <c r="G20" s="494" t="s">
        <v>11</v>
      </c>
      <c r="H20" s="495" t="s">
        <v>11</v>
      </c>
      <c r="I20" s="496" t="s">
        <v>11</v>
      </c>
      <c r="K20"/>
      <c r="L20" s="95"/>
      <c r="M20" s="96"/>
      <c r="N20" s="90"/>
    </row>
    <row r="21" spans="2:18" s="4" customFormat="1" ht="28.05" customHeight="1">
      <c r="B21" s="547"/>
      <c r="C21" s="548"/>
      <c r="D21" s="13"/>
      <c r="E21" s="17" t="s">
        <v>17</v>
      </c>
      <c r="F21" s="494" t="s">
        <v>11</v>
      </c>
      <c r="G21" s="494" t="s">
        <v>11</v>
      </c>
      <c r="H21" s="495" t="s">
        <v>11</v>
      </c>
      <c r="I21" s="496" t="s">
        <v>11</v>
      </c>
      <c r="L21" s="95"/>
      <c r="M21" s="96"/>
      <c r="N21" s="90"/>
    </row>
    <row r="22" spans="2:18" ht="28.05" customHeight="1">
      <c r="B22" s="302" t="s">
        <v>35</v>
      </c>
      <c r="C22" s="27"/>
      <c r="D22" s="288"/>
      <c r="E22" s="288"/>
      <c r="F22" s="288"/>
      <c r="G22" s="288"/>
      <c r="H22" s="288"/>
      <c r="I22" s="301"/>
      <c r="K22"/>
      <c r="M22" s="4"/>
      <c r="N22" s="4"/>
    </row>
    <row r="23" spans="2:18" ht="28.05" customHeight="1">
      <c r="B23" s="547" t="s">
        <v>36</v>
      </c>
      <c r="C23" s="548"/>
      <c r="D23" s="13" t="s">
        <v>37</v>
      </c>
      <c r="E23" s="17" t="s">
        <v>17</v>
      </c>
      <c r="F23" s="17" t="s">
        <v>17</v>
      </c>
      <c r="G23" s="17" t="s">
        <v>17</v>
      </c>
      <c r="H23" s="84">
        <v>0</v>
      </c>
      <c r="I23" s="300">
        <f>'SP11-4'!N30*('SP11-1'!$I$41*720+'SP11-1'!$I$28-1)*'SP11-1'!J56</f>
        <v>0</v>
      </c>
      <c r="J23" s="396"/>
      <c r="K23"/>
      <c r="L23" s="95"/>
      <c r="M23" s="96"/>
      <c r="N23" s="94"/>
    </row>
    <row r="24" spans="2:18" s="4" customFormat="1" ht="28.05" customHeight="1">
      <c r="B24" s="547"/>
      <c r="C24" s="548"/>
      <c r="D24" s="13"/>
      <c r="E24" s="17" t="s">
        <v>17</v>
      </c>
      <c r="F24" s="494" t="s">
        <v>11</v>
      </c>
      <c r="G24" s="494" t="s">
        <v>11</v>
      </c>
      <c r="H24" s="495" t="s">
        <v>11</v>
      </c>
      <c r="I24" s="496" t="s">
        <v>11</v>
      </c>
      <c r="L24" s="95"/>
      <c r="M24" s="96"/>
      <c r="N24" s="90"/>
      <c r="O24"/>
      <c r="P24"/>
      <c r="Q24"/>
      <c r="R24"/>
    </row>
    <row r="25" spans="2:18" ht="28.05" customHeight="1">
      <c r="B25" s="303" t="s">
        <v>38</v>
      </c>
      <c r="C25" s="25"/>
      <c r="D25" s="288"/>
      <c r="E25" s="288"/>
      <c r="F25" s="288"/>
      <c r="G25" s="288"/>
      <c r="H25" s="288"/>
      <c r="I25" s="301"/>
      <c r="K25"/>
      <c r="M25" s="4"/>
      <c r="N25" s="4"/>
    </row>
    <row r="26" spans="2:18" s="4" customFormat="1" ht="28.05" customHeight="1">
      <c r="B26" s="549" t="s">
        <v>39</v>
      </c>
      <c r="C26" s="550"/>
      <c r="D26" s="87" t="s">
        <v>40</v>
      </c>
      <c r="E26" s="17" t="s">
        <v>17</v>
      </c>
      <c r="F26" s="85">
        <v>0</v>
      </c>
      <c r="G26" s="85">
        <f>G27*0.000161</f>
        <v>0</v>
      </c>
      <c r="H26" s="84">
        <v>0</v>
      </c>
      <c r="I26" s="300">
        <f>G26*'Tables NEW TABLES'!G1</f>
        <v>0</v>
      </c>
      <c r="L26" s="95"/>
      <c r="M26" s="96"/>
      <c r="N26" s="94"/>
      <c r="O26"/>
      <c r="P26"/>
      <c r="Q26"/>
      <c r="R26"/>
    </row>
    <row r="27" spans="2:18" s="4" customFormat="1" ht="28.05" customHeight="1">
      <c r="B27" s="508" t="s">
        <v>39</v>
      </c>
      <c r="C27" s="509"/>
      <c r="D27" s="13" t="s">
        <v>41</v>
      </c>
      <c r="E27" s="17"/>
      <c r="F27" s="85"/>
      <c r="G27" s="13">
        <f>'SP11-1'!I46*(('SP11-1'!I28-1)+('SP11-1'!I28-1)*('SP11-1'!I28/2)*('SP11-1'!I41))*-1</f>
        <v>0</v>
      </c>
      <c r="H27" s="84"/>
      <c r="I27" s="300"/>
      <c r="L27" s="95"/>
      <c r="M27" s="93"/>
      <c r="N27" s="94"/>
      <c r="O27"/>
      <c r="P27"/>
      <c r="Q27"/>
      <c r="R27"/>
    </row>
    <row r="28" spans="2:18" s="4" customFormat="1" ht="28.05" customHeight="1">
      <c r="B28" s="508" t="s">
        <v>42</v>
      </c>
      <c r="C28" s="509"/>
      <c r="D28" s="13" t="s">
        <v>43</v>
      </c>
      <c r="E28" s="17" t="s">
        <v>17</v>
      </c>
      <c r="F28" s="13" t="s">
        <v>11</v>
      </c>
      <c r="G28" s="13"/>
      <c r="H28" s="84">
        <v>0</v>
      </c>
      <c r="I28" s="300">
        <v>0</v>
      </c>
      <c r="L28" s="95"/>
      <c r="M28" s="96"/>
      <c r="N28" s="90"/>
      <c r="O28"/>
      <c r="P28"/>
      <c r="Q28"/>
      <c r="R28"/>
    </row>
    <row r="29" spans="2:18" ht="28.05" customHeight="1">
      <c r="B29" s="304" t="s">
        <v>44</v>
      </c>
      <c r="C29" s="25"/>
      <c r="D29" s="288"/>
      <c r="E29" s="288"/>
      <c r="F29" s="288"/>
      <c r="G29" s="288"/>
      <c r="H29" s="288"/>
      <c r="I29" s="301"/>
      <c r="K29"/>
      <c r="M29" s="4"/>
      <c r="N29" s="4"/>
    </row>
    <row r="30" spans="2:18" s="4" customFormat="1" ht="28.05" customHeight="1">
      <c r="B30" s="549" t="s">
        <v>45</v>
      </c>
      <c r="C30" s="550"/>
      <c r="D30" s="87" t="s">
        <v>46</v>
      </c>
      <c r="E30" s="17" t="s">
        <v>17</v>
      </c>
      <c r="F30" s="494" t="s">
        <v>11</v>
      </c>
      <c r="G30" s="494" t="s">
        <v>11</v>
      </c>
      <c r="H30" s="13" t="s">
        <v>17</v>
      </c>
      <c r="I30" s="300" t="s">
        <v>17</v>
      </c>
      <c r="L30" s="97"/>
      <c r="M30" s="98"/>
      <c r="N30" s="94"/>
    </row>
    <row r="31" spans="2:18" s="4" customFormat="1" ht="28.05" customHeight="1" thickBot="1">
      <c r="B31" s="545" t="s">
        <v>47</v>
      </c>
      <c r="C31" s="546"/>
      <c r="D31" s="305" t="s">
        <v>37</v>
      </c>
      <c r="E31" s="306" t="s">
        <v>17</v>
      </c>
      <c r="F31" s="497" t="s">
        <v>11</v>
      </c>
      <c r="G31" s="497" t="s">
        <v>11</v>
      </c>
      <c r="H31" s="497" t="s">
        <v>11</v>
      </c>
      <c r="I31" s="498" t="s">
        <v>11</v>
      </c>
      <c r="L31" s="95"/>
      <c r="M31" s="96"/>
      <c r="N31" s="90"/>
    </row>
    <row r="32" spans="2:18" s="6" customFormat="1">
      <c r="L32" s="4"/>
      <c r="M32" s="4"/>
      <c r="N32" s="4"/>
    </row>
    <row r="33" spans="2:14" s="6" customFormat="1">
      <c r="B33" s="544" t="s">
        <v>48</v>
      </c>
      <c r="C33" s="544"/>
      <c r="D33" s="16"/>
      <c r="E33" s="16"/>
      <c r="F33" s="16"/>
      <c r="G33" s="16"/>
      <c r="H33" s="16"/>
      <c r="I33" s="16"/>
      <c r="L33" s="4"/>
      <c r="M33" s="4"/>
      <c r="N33" s="4"/>
    </row>
    <row r="34" spans="2:14" s="9" customFormat="1" ht="40.049999999999997" customHeight="1">
      <c r="B34" s="539"/>
      <c r="C34" s="540"/>
      <c r="D34" s="540"/>
      <c r="E34" s="540"/>
      <c r="F34" s="540"/>
      <c r="G34" s="540"/>
      <c r="H34" s="540"/>
      <c r="I34" s="541"/>
      <c r="L34" s="4"/>
      <c r="M34" s="4"/>
      <c r="N34" s="4"/>
    </row>
    <row r="35" spans="2:14">
      <c r="L35" s="4"/>
      <c r="M35" s="4"/>
      <c r="N35" s="4"/>
    </row>
    <row r="36" spans="2:14">
      <c r="L36" s="4"/>
      <c r="M36" s="4"/>
      <c r="N36" s="4"/>
    </row>
    <row r="37" spans="2:14">
      <c r="L37" s="4"/>
      <c r="M37" s="4"/>
      <c r="N37" s="4"/>
    </row>
  </sheetData>
  <sheetProtection algorithmName="SHA-512" hashValue="X1YQrj1uapgXIbSzPVz/UO159EJpZ81OhujvwGuIeC82fkfQWLVVGv5M36CSOQDK3rjlsZjvODttGsEBeYLj2w==" saltValue="cz0wfunrkUWk1NXx0YM/eg==" spinCount="100000" sheet="1" objects="1" scenarios="1"/>
  <protectedRanges>
    <protectedRange sqref="J3" name="Range2_1"/>
  </protectedRanges>
  <mergeCells count="41">
    <mergeCell ref="B34:I34"/>
    <mergeCell ref="B13:C13"/>
    <mergeCell ref="B28:C28"/>
    <mergeCell ref="B33:C33"/>
    <mergeCell ref="B31:C31"/>
    <mergeCell ref="B21:C21"/>
    <mergeCell ref="B24:C24"/>
    <mergeCell ref="B30:C30"/>
    <mergeCell ref="B18:C18"/>
    <mergeCell ref="B26:C26"/>
    <mergeCell ref="D14:G14"/>
    <mergeCell ref="H14:I14"/>
    <mergeCell ref="B17:C17"/>
    <mergeCell ref="B15:C15"/>
    <mergeCell ref="B20:C20"/>
    <mergeCell ref="B23:C23"/>
    <mergeCell ref="G7:I7"/>
    <mergeCell ref="B7:D7"/>
    <mergeCell ref="G8:H8"/>
    <mergeCell ref="G9:H9"/>
    <mergeCell ref="B8:D12"/>
    <mergeCell ref="G12:H12"/>
    <mergeCell ref="G10:H10"/>
    <mergeCell ref="G11:H11"/>
    <mergeCell ref="B2:I2"/>
    <mergeCell ref="B4:C4"/>
    <mergeCell ref="B5:C5"/>
    <mergeCell ref="D5:E5"/>
    <mergeCell ref="D4:E4"/>
    <mergeCell ref="F4:G4"/>
    <mergeCell ref="F5:G5"/>
    <mergeCell ref="H4:I4"/>
    <mergeCell ref="H5:I5"/>
    <mergeCell ref="G3:H3"/>
    <mergeCell ref="B14:C14"/>
    <mergeCell ref="E7:F7"/>
    <mergeCell ref="E8:E9"/>
    <mergeCell ref="F8:F9"/>
    <mergeCell ref="B27:C27"/>
    <mergeCell ref="E10:E11"/>
    <mergeCell ref="F10:F11"/>
  </mergeCells>
  <phoneticPr fontId="2" type="noConversion"/>
  <pageMargins left="0.36000000000000004" right="0.36000000000000004" top="0.6100000000000001" bottom="0.6100000000000001" header="0.5" footer="0.5"/>
  <pageSetup paperSize="8" scale="75"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161" r:id="rId4" name="Check Box 113">
              <controlPr defaultSize="0" autoFill="0" autoLine="0" autoPict="0">
                <anchor moveWithCells="1">
                  <from>
                    <xdr:col>8</xdr:col>
                    <xdr:colOff>822960</xdr:colOff>
                    <xdr:row>2</xdr:row>
                    <xdr:rowOff>289560</xdr:rowOff>
                  </from>
                  <to>
                    <xdr:col>8</xdr:col>
                    <xdr:colOff>1203960</xdr:colOff>
                    <xdr:row>2</xdr:row>
                    <xdr:rowOff>609600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xr:uid="{00000000-0002-0000-0000-000000000000}">
          <x14:formula1>
            <xm:f>'Benefits Framework'!$C$2:$C$3</xm:f>
          </x14:formula1>
          <xm:sqref>B20:C21</xm:sqref>
        </x14:dataValidation>
        <x14:dataValidation type="list" allowBlank="1" showInputMessage="1" xr:uid="{3868E784-81E8-495B-8333-1271A052BFB6}">
          <x14:formula1>
            <xm:f>'Benefits Framework'!$C$9:$C$73</xm:f>
          </x14:formula1>
          <xm:sqref>D27:D28 D31 D20:D21 D23:D24</xm:sqref>
        </x14:dataValidation>
        <x14:dataValidation type="list" showInputMessage="1" xr:uid="{515BDA68-EBB3-43C2-89A8-7D208DC8401B}">
          <x14:formula1>
            <xm:f>'Benefits Framework'!$A$2:$A$8</xm:f>
          </x14:formula1>
          <xm:sqref>B18:C18</xm:sqref>
        </x14:dataValidation>
        <x14:dataValidation type="list" allowBlank="1" showInputMessage="1" xr:uid="{7F353724-2C21-408C-AED7-7AA7327EE5A5}">
          <x14:formula1>
            <xm:f>'Benefits Framework'!$I$2:$I$10</xm:f>
          </x14:formula1>
          <xm:sqref>B31:C31</xm:sqref>
        </x14:dataValidation>
        <x14:dataValidation type="list" allowBlank="1" showInputMessage="1" showErrorMessage="1" xr:uid="{9FFFA634-5594-4BC4-996C-DF0E370D3FD0}">
          <x14:formula1>
            <xm:f>'Benefits Framework'!$C$9:$C$20</xm:f>
          </x14:formula1>
          <xm:sqref>D18</xm:sqref>
        </x14:dataValidation>
        <x14:dataValidation type="list" allowBlank="1" showInputMessage="1" xr:uid="{65C95072-8FE0-48FA-8F0B-B5EB0A5BD752}">
          <x14:formula1>
            <xm:f>'Benefits Framework'!$E$2:$E$3</xm:f>
          </x14:formula1>
          <xm:sqref>B23:C24</xm:sqref>
        </x14:dataValidation>
        <x14:dataValidation type="list" allowBlank="1" showInputMessage="1" showErrorMessage="1" xr:uid="{EEB57C4A-2F42-41A7-A9D9-470B97E5744A}">
          <x14:formula1>
            <xm:f>Conversion!$A$3:$A$6</xm:f>
          </x14:formula1>
          <xm:sqref>L17:L18 L20:L21 L23:L24 L26:L28 L30:L31</xm:sqref>
        </x14:dataValidation>
        <x14:dataValidation type="list" allowBlank="1" showInputMessage="1" showErrorMessage="1" xr:uid="{8AAAD5E8-F1AE-4357-8BEC-02F7065F72F2}">
          <x14:formula1>
            <xm:f>'Tables NEW TABLES'!$A$1:$C$1</xm:f>
          </x14:formula1>
          <xm:sqref>J3</xm:sqref>
        </x14:dataValidation>
        <x14:dataValidation type="list" allowBlank="1" showInputMessage="1" xr:uid="{A81E6DF3-4BD7-4B05-8864-D584D0629F63}">
          <x14:formula1>
            <xm:f>'Benefits Framework'!$G$2:$G$6</xm:f>
          </x14:formula1>
          <xm:sqref>B27:C28</xm:sqref>
        </x14:dataValidation>
      </x14:dataValidations>
    </ex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F205A-1031-4FE0-AE12-E2588AA4AD74}">
  <sheetPr>
    <pageSetUpPr fitToPage="1"/>
  </sheetPr>
  <dimension ref="A1:AJ89"/>
  <sheetViews>
    <sheetView topLeftCell="A10" zoomScale="115" zoomScaleNormal="115" workbookViewId="0">
      <selection activeCell="K33" sqref="K33:M33"/>
    </sheetView>
  </sheetViews>
  <sheetFormatPr defaultColWidth="7.69921875" defaultRowHeight="12.6"/>
  <cols>
    <col min="1" max="1" width="1.796875" style="61" customWidth="1"/>
    <col min="2" max="2" width="8.296875" style="61" customWidth="1"/>
    <col min="3" max="9" width="3.19921875" style="61" customWidth="1"/>
    <col min="10" max="10" width="4.296875" style="61" customWidth="1"/>
    <col min="11" max="19" width="4.69921875" style="61" customWidth="1"/>
    <col min="20" max="20" width="3" style="62" customWidth="1"/>
    <col min="21" max="21" width="13.69921875" style="61" customWidth="1"/>
    <col min="22" max="22" width="26.69921875" style="61" customWidth="1"/>
    <col min="23" max="26" width="13.69921875" style="61" customWidth="1"/>
    <col min="27" max="27" width="7.69921875" style="61" customWidth="1"/>
    <col min="28" max="32" width="7.69921875" style="61"/>
    <col min="33" max="36" width="0" style="61" hidden="1" customWidth="1"/>
    <col min="37" max="256" width="7.69921875" style="61"/>
    <col min="257" max="257" width="1.796875" style="61" customWidth="1"/>
    <col min="258" max="258" width="8.296875" style="61" customWidth="1"/>
    <col min="259" max="265" width="3.19921875" style="61" customWidth="1"/>
    <col min="266" max="266" width="4.296875" style="61" customWidth="1"/>
    <col min="267" max="275" width="4.69921875" style="61" customWidth="1"/>
    <col min="276" max="276" width="3" style="61" customWidth="1"/>
    <col min="277" max="277" width="13.69921875" style="61" customWidth="1"/>
    <col min="278" max="278" width="26.69921875" style="61" customWidth="1"/>
    <col min="279" max="282" width="13.69921875" style="61" customWidth="1"/>
    <col min="283" max="288" width="7.69921875" style="61"/>
    <col min="289" max="292" width="0" style="61" hidden="1" customWidth="1"/>
    <col min="293" max="512" width="7.69921875" style="61"/>
    <col min="513" max="513" width="1.796875" style="61" customWidth="1"/>
    <col min="514" max="514" width="8.296875" style="61" customWidth="1"/>
    <col min="515" max="521" width="3.19921875" style="61" customWidth="1"/>
    <col min="522" max="522" width="4.296875" style="61" customWidth="1"/>
    <col min="523" max="531" width="4.69921875" style="61" customWidth="1"/>
    <col min="532" max="532" width="3" style="61" customWidth="1"/>
    <col min="533" max="533" width="13.69921875" style="61" customWidth="1"/>
    <col min="534" max="534" width="26.69921875" style="61" customWidth="1"/>
    <col min="535" max="538" width="13.69921875" style="61" customWidth="1"/>
    <col min="539" max="544" width="7.69921875" style="61"/>
    <col min="545" max="548" width="0" style="61" hidden="1" customWidth="1"/>
    <col min="549" max="768" width="7.69921875" style="61"/>
    <col min="769" max="769" width="1.796875" style="61" customWidth="1"/>
    <col min="770" max="770" width="8.296875" style="61" customWidth="1"/>
    <col min="771" max="777" width="3.19921875" style="61" customWidth="1"/>
    <col min="778" max="778" width="4.296875" style="61" customWidth="1"/>
    <col min="779" max="787" width="4.69921875" style="61" customWidth="1"/>
    <col min="788" max="788" width="3" style="61" customWidth="1"/>
    <col min="789" max="789" width="13.69921875" style="61" customWidth="1"/>
    <col min="790" max="790" width="26.69921875" style="61" customWidth="1"/>
    <col min="791" max="794" width="13.69921875" style="61" customWidth="1"/>
    <col min="795" max="800" width="7.69921875" style="61"/>
    <col min="801" max="804" width="0" style="61" hidden="1" customWidth="1"/>
    <col min="805" max="1024" width="7.69921875" style="61"/>
    <col min="1025" max="1025" width="1.796875" style="61" customWidth="1"/>
    <col min="1026" max="1026" width="8.296875" style="61" customWidth="1"/>
    <col min="1027" max="1033" width="3.19921875" style="61" customWidth="1"/>
    <col min="1034" max="1034" width="4.296875" style="61" customWidth="1"/>
    <col min="1035" max="1043" width="4.69921875" style="61" customWidth="1"/>
    <col min="1044" max="1044" width="3" style="61" customWidth="1"/>
    <col min="1045" max="1045" width="13.69921875" style="61" customWidth="1"/>
    <col min="1046" max="1046" width="26.69921875" style="61" customWidth="1"/>
    <col min="1047" max="1050" width="13.69921875" style="61" customWidth="1"/>
    <col min="1051" max="1056" width="7.69921875" style="61"/>
    <col min="1057" max="1060" width="0" style="61" hidden="1" customWidth="1"/>
    <col min="1061" max="1280" width="7.69921875" style="61"/>
    <col min="1281" max="1281" width="1.796875" style="61" customWidth="1"/>
    <col min="1282" max="1282" width="8.296875" style="61" customWidth="1"/>
    <col min="1283" max="1289" width="3.19921875" style="61" customWidth="1"/>
    <col min="1290" max="1290" width="4.296875" style="61" customWidth="1"/>
    <col min="1291" max="1299" width="4.69921875" style="61" customWidth="1"/>
    <col min="1300" max="1300" width="3" style="61" customWidth="1"/>
    <col min="1301" max="1301" width="13.69921875" style="61" customWidth="1"/>
    <col min="1302" max="1302" width="26.69921875" style="61" customWidth="1"/>
    <col min="1303" max="1306" width="13.69921875" style="61" customWidth="1"/>
    <col min="1307" max="1312" width="7.69921875" style="61"/>
    <col min="1313" max="1316" width="0" style="61" hidden="1" customWidth="1"/>
    <col min="1317" max="1536" width="7.69921875" style="61"/>
    <col min="1537" max="1537" width="1.796875" style="61" customWidth="1"/>
    <col min="1538" max="1538" width="8.296875" style="61" customWidth="1"/>
    <col min="1539" max="1545" width="3.19921875" style="61" customWidth="1"/>
    <col min="1546" max="1546" width="4.296875" style="61" customWidth="1"/>
    <col min="1547" max="1555" width="4.69921875" style="61" customWidth="1"/>
    <col min="1556" max="1556" width="3" style="61" customWidth="1"/>
    <col min="1557" max="1557" width="13.69921875" style="61" customWidth="1"/>
    <col min="1558" max="1558" width="26.69921875" style="61" customWidth="1"/>
    <col min="1559" max="1562" width="13.69921875" style="61" customWidth="1"/>
    <col min="1563" max="1568" width="7.69921875" style="61"/>
    <col min="1569" max="1572" width="0" style="61" hidden="1" customWidth="1"/>
    <col min="1573" max="1792" width="7.69921875" style="61"/>
    <col min="1793" max="1793" width="1.796875" style="61" customWidth="1"/>
    <col min="1794" max="1794" width="8.296875" style="61" customWidth="1"/>
    <col min="1795" max="1801" width="3.19921875" style="61" customWidth="1"/>
    <col min="1802" max="1802" width="4.296875" style="61" customWidth="1"/>
    <col min="1803" max="1811" width="4.69921875" style="61" customWidth="1"/>
    <col min="1812" max="1812" width="3" style="61" customWidth="1"/>
    <col min="1813" max="1813" width="13.69921875" style="61" customWidth="1"/>
    <col min="1814" max="1814" width="26.69921875" style="61" customWidth="1"/>
    <col min="1815" max="1818" width="13.69921875" style="61" customWidth="1"/>
    <col min="1819" max="1824" width="7.69921875" style="61"/>
    <col min="1825" max="1828" width="0" style="61" hidden="1" customWidth="1"/>
    <col min="1829" max="2048" width="7.69921875" style="61"/>
    <col min="2049" max="2049" width="1.796875" style="61" customWidth="1"/>
    <col min="2050" max="2050" width="8.296875" style="61" customWidth="1"/>
    <col min="2051" max="2057" width="3.19921875" style="61" customWidth="1"/>
    <col min="2058" max="2058" width="4.296875" style="61" customWidth="1"/>
    <col min="2059" max="2067" width="4.69921875" style="61" customWidth="1"/>
    <col min="2068" max="2068" width="3" style="61" customWidth="1"/>
    <col min="2069" max="2069" width="13.69921875" style="61" customWidth="1"/>
    <col min="2070" max="2070" width="26.69921875" style="61" customWidth="1"/>
    <col min="2071" max="2074" width="13.69921875" style="61" customWidth="1"/>
    <col min="2075" max="2080" width="7.69921875" style="61"/>
    <col min="2081" max="2084" width="0" style="61" hidden="1" customWidth="1"/>
    <col min="2085" max="2304" width="7.69921875" style="61"/>
    <col min="2305" max="2305" width="1.796875" style="61" customWidth="1"/>
    <col min="2306" max="2306" width="8.296875" style="61" customWidth="1"/>
    <col min="2307" max="2313" width="3.19921875" style="61" customWidth="1"/>
    <col min="2314" max="2314" width="4.296875" style="61" customWidth="1"/>
    <col min="2315" max="2323" width="4.69921875" style="61" customWidth="1"/>
    <col min="2324" max="2324" width="3" style="61" customWidth="1"/>
    <col min="2325" max="2325" width="13.69921875" style="61" customWidth="1"/>
    <col min="2326" max="2326" width="26.69921875" style="61" customWidth="1"/>
    <col min="2327" max="2330" width="13.69921875" style="61" customWidth="1"/>
    <col min="2331" max="2336" width="7.69921875" style="61"/>
    <col min="2337" max="2340" width="0" style="61" hidden="1" customWidth="1"/>
    <col min="2341" max="2560" width="7.69921875" style="61"/>
    <col min="2561" max="2561" width="1.796875" style="61" customWidth="1"/>
    <col min="2562" max="2562" width="8.296875" style="61" customWidth="1"/>
    <col min="2563" max="2569" width="3.19921875" style="61" customWidth="1"/>
    <col min="2570" max="2570" width="4.296875" style="61" customWidth="1"/>
    <col min="2571" max="2579" width="4.69921875" style="61" customWidth="1"/>
    <col min="2580" max="2580" width="3" style="61" customWidth="1"/>
    <col min="2581" max="2581" width="13.69921875" style="61" customWidth="1"/>
    <col min="2582" max="2582" width="26.69921875" style="61" customWidth="1"/>
    <col min="2583" max="2586" width="13.69921875" style="61" customWidth="1"/>
    <col min="2587" max="2592" width="7.69921875" style="61"/>
    <col min="2593" max="2596" width="0" style="61" hidden="1" customWidth="1"/>
    <col min="2597" max="2816" width="7.69921875" style="61"/>
    <col min="2817" max="2817" width="1.796875" style="61" customWidth="1"/>
    <col min="2818" max="2818" width="8.296875" style="61" customWidth="1"/>
    <col min="2819" max="2825" width="3.19921875" style="61" customWidth="1"/>
    <col min="2826" max="2826" width="4.296875" style="61" customWidth="1"/>
    <col min="2827" max="2835" width="4.69921875" style="61" customWidth="1"/>
    <col min="2836" max="2836" width="3" style="61" customWidth="1"/>
    <col min="2837" max="2837" width="13.69921875" style="61" customWidth="1"/>
    <col min="2838" max="2838" width="26.69921875" style="61" customWidth="1"/>
    <col min="2839" max="2842" width="13.69921875" style="61" customWidth="1"/>
    <col min="2843" max="2848" width="7.69921875" style="61"/>
    <col min="2849" max="2852" width="0" style="61" hidden="1" customWidth="1"/>
    <col min="2853" max="3072" width="7.69921875" style="61"/>
    <col min="3073" max="3073" width="1.796875" style="61" customWidth="1"/>
    <col min="3074" max="3074" width="8.296875" style="61" customWidth="1"/>
    <col min="3075" max="3081" width="3.19921875" style="61" customWidth="1"/>
    <col min="3082" max="3082" width="4.296875" style="61" customWidth="1"/>
    <col min="3083" max="3091" width="4.69921875" style="61" customWidth="1"/>
    <col min="3092" max="3092" width="3" style="61" customWidth="1"/>
    <col min="3093" max="3093" width="13.69921875" style="61" customWidth="1"/>
    <col min="3094" max="3094" width="26.69921875" style="61" customWidth="1"/>
    <col min="3095" max="3098" width="13.69921875" style="61" customWidth="1"/>
    <col min="3099" max="3104" width="7.69921875" style="61"/>
    <col min="3105" max="3108" width="0" style="61" hidden="1" customWidth="1"/>
    <col min="3109" max="3328" width="7.69921875" style="61"/>
    <col min="3329" max="3329" width="1.796875" style="61" customWidth="1"/>
    <col min="3330" max="3330" width="8.296875" style="61" customWidth="1"/>
    <col min="3331" max="3337" width="3.19921875" style="61" customWidth="1"/>
    <col min="3338" max="3338" width="4.296875" style="61" customWidth="1"/>
    <col min="3339" max="3347" width="4.69921875" style="61" customWidth="1"/>
    <col min="3348" max="3348" width="3" style="61" customWidth="1"/>
    <col min="3349" max="3349" width="13.69921875" style="61" customWidth="1"/>
    <col min="3350" max="3350" width="26.69921875" style="61" customWidth="1"/>
    <col min="3351" max="3354" width="13.69921875" style="61" customWidth="1"/>
    <col min="3355" max="3360" width="7.69921875" style="61"/>
    <col min="3361" max="3364" width="0" style="61" hidden="1" customWidth="1"/>
    <col min="3365" max="3584" width="7.69921875" style="61"/>
    <col min="3585" max="3585" width="1.796875" style="61" customWidth="1"/>
    <col min="3586" max="3586" width="8.296875" style="61" customWidth="1"/>
    <col min="3587" max="3593" width="3.19921875" style="61" customWidth="1"/>
    <col min="3594" max="3594" width="4.296875" style="61" customWidth="1"/>
    <col min="3595" max="3603" width="4.69921875" style="61" customWidth="1"/>
    <col min="3604" max="3604" width="3" style="61" customWidth="1"/>
    <col min="3605" max="3605" width="13.69921875" style="61" customWidth="1"/>
    <col min="3606" max="3606" width="26.69921875" style="61" customWidth="1"/>
    <col min="3607" max="3610" width="13.69921875" style="61" customWidth="1"/>
    <col min="3611" max="3616" width="7.69921875" style="61"/>
    <col min="3617" max="3620" width="0" style="61" hidden="1" customWidth="1"/>
    <col min="3621" max="3840" width="7.69921875" style="61"/>
    <col min="3841" max="3841" width="1.796875" style="61" customWidth="1"/>
    <col min="3842" max="3842" width="8.296875" style="61" customWidth="1"/>
    <col min="3843" max="3849" width="3.19921875" style="61" customWidth="1"/>
    <col min="3850" max="3850" width="4.296875" style="61" customWidth="1"/>
    <col min="3851" max="3859" width="4.69921875" style="61" customWidth="1"/>
    <col min="3860" max="3860" width="3" style="61" customWidth="1"/>
    <col min="3861" max="3861" width="13.69921875" style="61" customWidth="1"/>
    <col min="3862" max="3862" width="26.69921875" style="61" customWidth="1"/>
    <col min="3863" max="3866" width="13.69921875" style="61" customWidth="1"/>
    <col min="3867" max="3872" width="7.69921875" style="61"/>
    <col min="3873" max="3876" width="0" style="61" hidden="1" customWidth="1"/>
    <col min="3877" max="4096" width="7.69921875" style="61"/>
    <col min="4097" max="4097" width="1.796875" style="61" customWidth="1"/>
    <col min="4098" max="4098" width="8.296875" style="61" customWidth="1"/>
    <col min="4099" max="4105" width="3.19921875" style="61" customWidth="1"/>
    <col min="4106" max="4106" width="4.296875" style="61" customWidth="1"/>
    <col min="4107" max="4115" width="4.69921875" style="61" customWidth="1"/>
    <col min="4116" max="4116" width="3" style="61" customWidth="1"/>
    <col min="4117" max="4117" width="13.69921875" style="61" customWidth="1"/>
    <col min="4118" max="4118" width="26.69921875" style="61" customWidth="1"/>
    <col min="4119" max="4122" width="13.69921875" style="61" customWidth="1"/>
    <col min="4123" max="4128" width="7.69921875" style="61"/>
    <col min="4129" max="4132" width="0" style="61" hidden="1" customWidth="1"/>
    <col min="4133" max="4352" width="7.69921875" style="61"/>
    <col min="4353" max="4353" width="1.796875" style="61" customWidth="1"/>
    <col min="4354" max="4354" width="8.296875" style="61" customWidth="1"/>
    <col min="4355" max="4361" width="3.19921875" style="61" customWidth="1"/>
    <col min="4362" max="4362" width="4.296875" style="61" customWidth="1"/>
    <col min="4363" max="4371" width="4.69921875" style="61" customWidth="1"/>
    <col min="4372" max="4372" width="3" style="61" customWidth="1"/>
    <col min="4373" max="4373" width="13.69921875" style="61" customWidth="1"/>
    <col min="4374" max="4374" width="26.69921875" style="61" customWidth="1"/>
    <col min="4375" max="4378" width="13.69921875" style="61" customWidth="1"/>
    <col min="4379" max="4384" width="7.69921875" style="61"/>
    <col min="4385" max="4388" width="0" style="61" hidden="1" customWidth="1"/>
    <col min="4389" max="4608" width="7.69921875" style="61"/>
    <col min="4609" max="4609" width="1.796875" style="61" customWidth="1"/>
    <col min="4610" max="4610" width="8.296875" style="61" customWidth="1"/>
    <col min="4611" max="4617" width="3.19921875" style="61" customWidth="1"/>
    <col min="4618" max="4618" width="4.296875" style="61" customWidth="1"/>
    <col min="4619" max="4627" width="4.69921875" style="61" customWidth="1"/>
    <col min="4628" max="4628" width="3" style="61" customWidth="1"/>
    <col min="4629" max="4629" width="13.69921875" style="61" customWidth="1"/>
    <col min="4630" max="4630" width="26.69921875" style="61" customWidth="1"/>
    <col min="4631" max="4634" width="13.69921875" style="61" customWidth="1"/>
    <col min="4635" max="4640" width="7.69921875" style="61"/>
    <col min="4641" max="4644" width="0" style="61" hidden="1" customWidth="1"/>
    <col min="4645" max="4864" width="7.69921875" style="61"/>
    <col min="4865" max="4865" width="1.796875" style="61" customWidth="1"/>
    <col min="4866" max="4866" width="8.296875" style="61" customWidth="1"/>
    <col min="4867" max="4873" width="3.19921875" style="61" customWidth="1"/>
    <col min="4874" max="4874" width="4.296875" style="61" customWidth="1"/>
    <col min="4875" max="4883" width="4.69921875" style="61" customWidth="1"/>
    <col min="4884" max="4884" width="3" style="61" customWidth="1"/>
    <col min="4885" max="4885" width="13.69921875" style="61" customWidth="1"/>
    <col min="4886" max="4886" width="26.69921875" style="61" customWidth="1"/>
    <col min="4887" max="4890" width="13.69921875" style="61" customWidth="1"/>
    <col min="4891" max="4896" width="7.69921875" style="61"/>
    <col min="4897" max="4900" width="0" style="61" hidden="1" customWidth="1"/>
    <col min="4901" max="5120" width="7.69921875" style="61"/>
    <col min="5121" max="5121" width="1.796875" style="61" customWidth="1"/>
    <col min="5122" max="5122" width="8.296875" style="61" customWidth="1"/>
    <col min="5123" max="5129" width="3.19921875" style="61" customWidth="1"/>
    <col min="5130" max="5130" width="4.296875" style="61" customWidth="1"/>
    <col min="5131" max="5139" width="4.69921875" style="61" customWidth="1"/>
    <col min="5140" max="5140" width="3" style="61" customWidth="1"/>
    <col min="5141" max="5141" width="13.69921875" style="61" customWidth="1"/>
    <col min="5142" max="5142" width="26.69921875" style="61" customWidth="1"/>
    <col min="5143" max="5146" width="13.69921875" style="61" customWidth="1"/>
    <col min="5147" max="5152" width="7.69921875" style="61"/>
    <col min="5153" max="5156" width="0" style="61" hidden="1" customWidth="1"/>
    <col min="5157" max="5376" width="7.69921875" style="61"/>
    <col min="5377" max="5377" width="1.796875" style="61" customWidth="1"/>
    <col min="5378" max="5378" width="8.296875" style="61" customWidth="1"/>
    <col min="5379" max="5385" width="3.19921875" style="61" customWidth="1"/>
    <col min="5386" max="5386" width="4.296875" style="61" customWidth="1"/>
    <col min="5387" max="5395" width="4.69921875" style="61" customWidth="1"/>
    <col min="5396" max="5396" width="3" style="61" customWidth="1"/>
    <col min="5397" max="5397" width="13.69921875" style="61" customWidth="1"/>
    <col min="5398" max="5398" width="26.69921875" style="61" customWidth="1"/>
    <col min="5399" max="5402" width="13.69921875" style="61" customWidth="1"/>
    <col min="5403" max="5408" width="7.69921875" style="61"/>
    <col min="5409" max="5412" width="0" style="61" hidden="1" customWidth="1"/>
    <col min="5413" max="5632" width="7.69921875" style="61"/>
    <col min="5633" max="5633" width="1.796875" style="61" customWidth="1"/>
    <col min="5634" max="5634" width="8.296875" style="61" customWidth="1"/>
    <col min="5635" max="5641" width="3.19921875" style="61" customWidth="1"/>
    <col min="5642" max="5642" width="4.296875" style="61" customWidth="1"/>
    <col min="5643" max="5651" width="4.69921875" style="61" customWidth="1"/>
    <col min="5652" max="5652" width="3" style="61" customWidth="1"/>
    <col min="5653" max="5653" width="13.69921875" style="61" customWidth="1"/>
    <col min="5654" max="5654" width="26.69921875" style="61" customWidth="1"/>
    <col min="5655" max="5658" width="13.69921875" style="61" customWidth="1"/>
    <col min="5659" max="5664" width="7.69921875" style="61"/>
    <col min="5665" max="5668" width="0" style="61" hidden="1" customWidth="1"/>
    <col min="5669" max="5888" width="7.69921875" style="61"/>
    <col min="5889" max="5889" width="1.796875" style="61" customWidth="1"/>
    <col min="5890" max="5890" width="8.296875" style="61" customWidth="1"/>
    <col min="5891" max="5897" width="3.19921875" style="61" customWidth="1"/>
    <col min="5898" max="5898" width="4.296875" style="61" customWidth="1"/>
    <col min="5899" max="5907" width="4.69921875" style="61" customWidth="1"/>
    <col min="5908" max="5908" width="3" style="61" customWidth="1"/>
    <col min="5909" max="5909" width="13.69921875" style="61" customWidth="1"/>
    <col min="5910" max="5910" width="26.69921875" style="61" customWidth="1"/>
    <col min="5911" max="5914" width="13.69921875" style="61" customWidth="1"/>
    <col min="5915" max="5920" width="7.69921875" style="61"/>
    <col min="5921" max="5924" width="0" style="61" hidden="1" customWidth="1"/>
    <col min="5925" max="6144" width="7.69921875" style="61"/>
    <col min="6145" max="6145" width="1.796875" style="61" customWidth="1"/>
    <col min="6146" max="6146" width="8.296875" style="61" customWidth="1"/>
    <col min="6147" max="6153" width="3.19921875" style="61" customWidth="1"/>
    <col min="6154" max="6154" width="4.296875" style="61" customWidth="1"/>
    <col min="6155" max="6163" width="4.69921875" style="61" customWidth="1"/>
    <col min="6164" max="6164" width="3" style="61" customWidth="1"/>
    <col min="6165" max="6165" width="13.69921875" style="61" customWidth="1"/>
    <col min="6166" max="6166" width="26.69921875" style="61" customWidth="1"/>
    <col min="6167" max="6170" width="13.69921875" style="61" customWidth="1"/>
    <col min="6171" max="6176" width="7.69921875" style="61"/>
    <col min="6177" max="6180" width="0" style="61" hidden="1" customWidth="1"/>
    <col min="6181" max="6400" width="7.69921875" style="61"/>
    <col min="6401" max="6401" width="1.796875" style="61" customWidth="1"/>
    <col min="6402" max="6402" width="8.296875" style="61" customWidth="1"/>
    <col min="6403" max="6409" width="3.19921875" style="61" customWidth="1"/>
    <col min="6410" max="6410" width="4.296875" style="61" customWidth="1"/>
    <col min="6411" max="6419" width="4.69921875" style="61" customWidth="1"/>
    <col min="6420" max="6420" width="3" style="61" customWidth="1"/>
    <col min="6421" max="6421" width="13.69921875" style="61" customWidth="1"/>
    <col min="6422" max="6422" width="26.69921875" style="61" customWidth="1"/>
    <col min="6423" max="6426" width="13.69921875" style="61" customWidth="1"/>
    <col min="6427" max="6432" width="7.69921875" style="61"/>
    <col min="6433" max="6436" width="0" style="61" hidden="1" customWidth="1"/>
    <col min="6437" max="6656" width="7.69921875" style="61"/>
    <col min="6657" max="6657" width="1.796875" style="61" customWidth="1"/>
    <col min="6658" max="6658" width="8.296875" style="61" customWidth="1"/>
    <col min="6659" max="6665" width="3.19921875" style="61" customWidth="1"/>
    <col min="6666" max="6666" width="4.296875" style="61" customWidth="1"/>
    <col min="6667" max="6675" width="4.69921875" style="61" customWidth="1"/>
    <col min="6676" max="6676" width="3" style="61" customWidth="1"/>
    <col min="6677" max="6677" width="13.69921875" style="61" customWidth="1"/>
    <col min="6678" max="6678" width="26.69921875" style="61" customWidth="1"/>
    <col min="6679" max="6682" width="13.69921875" style="61" customWidth="1"/>
    <col min="6683" max="6688" width="7.69921875" style="61"/>
    <col min="6689" max="6692" width="0" style="61" hidden="1" customWidth="1"/>
    <col min="6693" max="6912" width="7.69921875" style="61"/>
    <col min="6913" max="6913" width="1.796875" style="61" customWidth="1"/>
    <col min="6914" max="6914" width="8.296875" style="61" customWidth="1"/>
    <col min="6915" max="6921" width="3.19921875" style="61" customWidth="1"/>
    <col min="6922" max="6922" width="4.296875" style="61" customWidth="1"/>
    <col min="6923" max="6931" width="4.69921875" style="61" customWidth="1"/>
    <col min="6932" max="6932" width="3" style="61" customWidth="1"/>
    <col min="6933" max="6933" width="13.69921875" style="61" customWidth="1"/>
    <col min="6934" max="6934" width="26.69921875" style="61" customWidth="1"/>
    <col min="6935" max="6938" width="13.69921875" style="61" customWidth="1"/>
    <col min="6939" max="6944" width="7.69921875" style="61"/>
    <col min="6945" max="6948" width="0" style="61" hidden="1" customWidth="1"/>
    <col min="6949" max="7168" width="7.69921875" style="61"/>
    <col min="7169" max="7169" width="1.796875" style="61" customWidth="1"/>
    <col min="7170" max="7170" width="8.296875" style="61" customWidth="1"/>
    <col min="7171" max="7177" width="3.19921875" style="61" customWidth="1"/>
    <col min="7178" max="7178" width="4.296875" style="61" customWidth="1"/>
    <col min="7179" max="7187" width="4.69921875" style="61" customWidth="1"/>
    <col min="7188" max="7188" width="3" style="61" customWidth="1"/>
    <col min="7189" max="7189" width="13.69921875" style="61" customWidth="1"/>
    <col min="7190" max="7190" width="26.69921875" style="61" customWidth="1"/>
    <col min="7191" max="7194" width="13.69921875" style="61" customWidth="1"/>
    <col min="7195" max="7200" width="7.69921875" style="61"/>
    <col min="7201" max="7204" width="0" style="61" hidden="1" customWidth="1"/>
    <col min="7205" max="7424" width="7.69921875" style="61"/>
    <col min="7425" max="7425" width="1.796875" style="61" customWidth="1"/>
    <col min="7426" max="7426" width="8.296875" style="61" customWidth="1"/>
    <col min="7427" max="7433" width="3.19921875" style="61" customWidth="1"/>
    <col min="7434" max="7434" width="4.296875" style="61" customWidth="1"/>
    <col min="7435" max="7443" width="4.69921875" style="61" customWidth="1"/>
    <col min="7444" max="7444" width="3" style="61" customWidth="1"/>
    <col min="7445" max="7445" width="13.69921875" style="61" customWidth="1"/>
    <col min="7446" max="7446" width="26.69921875" style="61" customWidth="1"/>
    <col min="7447" max="7450" width="13.69921875" style="61" customWidth="1"/>
    <col min="7451" max="7456" width="7.69921875" style="61"/>
    <col min="7457" max="7460" width="0" style="61" hidden="1" customWidth="1"/>
    <col min="7461" max="7680" width="7.69921875" style="61"/>
    <col min="7681" max="7681" width="1.796875" style="61" customWidth="1"/>
    <col min="7682" max="7682" width="8.296875" style="61" customWidth="1"/>
    <col min="7683" max="7689" width="3.19921875" style="61" customWidth="1"/>
    <col min="7690" max="7690" width="4.296875" style="61" customWidth="1"/>
    <col min="7691" max="7699" width="4.69921875" style="61" customWidth="1"/>
    <col min="7700" max="7700" width="3" style="61" customWidth="1"/>
    <col min="7701" max="7701" width="13.69921875" style="61" customWidth="1"/>
    <col min="7702" max="7702" width="26.69921875" style="61" customWidth="1"/>
    <col min="7703" max="7706" width="13.69921875" style="61" customWidth="1"/>
    <col min="7707" max="7712" width="7.69921875" style="61"/>
    <col min="7713" max="7716" width="0" style="61" hidden="1" customWidth="1"/>
    <col min="7717" max="7936" width="7.69921875" style="61"/>
    <col min="7937" max="7937" width="1.796875" style="61" customWidth="1"/>
    <col min="7938" max="7938" width="8.296875" style="61" customWidth="1"/>
    <col min="7939" max="7945" width="3.19921875" style="61" customWidth="1"/>
    <col min="7946" max="7946" width="4.296875" style="61" customWidth="1"/>
    <col min="7947" max="7955" width="4.69921875" style="61" customWidth="1"/>
    <col min="7956" max="7956" width="3" style="61" customWidth="1"/>
    <col min="7957" max="7957" width="13.69921875" style="61" customWidth="1"/>
    <col min="7958" max="7958" width="26.69921875" style="61" customWidth="1"/>
    <col min="7959" max="7962" width="13.69921875" style="61" customWidth="1"/>
    <col min="7963" max="7968" width="7.69921875" style="61"/>
    <col min="7969" max="7972" width="0" style="61" hidden="1" customWidth="1"/>
    <col min="7973" max="8192" width="7.69921875" style="61"/>
    <col min="8193" max="8193" width="1.796875" style="61" customWidth="1"/>
    <col min="8194" max="8194" width="8.296875" style="61" customWidth="1"/>
    <col min="8195" max="8201" width="3.19921875" style="61" customWidth="1"/>
    <col min="8202" max="8202" width="4.296875" style="61" customWidth="1"/>
    <col min="8203" max="8211" width="4.69921875" style="61" customWidth="1"/>
    <col min="8212" max="8212" width="3" style="61" customWidth="1"/>
    <col min="8213" max="8213" width="13.69921875" style="61" customWidth="1"/>
    <col min="8214" max="8214" width="26.69921875" style="61" customWidth="1"/>
    <col min="8215" max="8218" width="13.69921875" style="61" customWidth="1"/>
    <col min="8219" max="8224" width="7.69921875" style="61"/>
    <col min="8225" max="8228" width="0" style="61" hidden="1" customWidth="1"/>
    <col min="8229" max="8448" width="7.69921875" style="61"/>
    <col min="8449" max="8449" width="1.796875" style="61" customWidth="1"/>
    <col min="8450" max="8450" width="8.296875" style="61" customWidth="1"/>
    <col min="8451" max="8457" width="3.19921875" style="61" customWidth="1"/>
    <col min="8458" max="8458" width="4.296875" style="61" customWidth="1"/>
    <col min="8459" max="8467" width="4.69921875" style="61" customWidth="1"/>
    <col min="8468" max="8468" width="3" style="61" customWidth="1"/>
    <col min="8469" max="8469" width="13.69921875" style="61" customWidth="1"/>
    <col min="8470" max="8470" width="26.69921875" style="61" customWidth="1"/>
    <col min="8471" max="8474" width="13.69921875" style="61" customWidth="1"/>
    <col min="8475" max="8480" width="7.69921875" style="61"/>
    <col min="8481" max="8484" width="0" style="61" hidden="1" customWidth="1"/>
    <col min="8485" max="8704" width="7.69921875" style="61"/>
    <col min="8705" max="8705" width="1.796875" style="61" customWidth="1"/>
    <col min="8706" max="8706" width="8.296875" style="61" customWidth="1"/>
    <col min="8707" max="8713" width="3.19921875" style="61" customWidth="1"/>
    <col min="8714" max="8714" width="4.296875" style="61" customWidth="1"/>
    <col min="8715" max="8723" width="4.69921875" style="61" customWidth="1"/>
    <col min="8724" max="8724" width="3" style="61" customWidth="1"/>
    <col min="8725" max="8725" width="13.69921875" style="61" customWidth="1"/>
    <col min="8726" max="8726" width="26.69921875" style="61" customWidth="1"/>
    <col min="8727" max="8730" width="13.69921875" style="61" customWidth="1"/>
    <col min="8731" max="8736" width="7.69921875" style="61"/>
    <col min="8737" max="8740" width="0" style="61" hidden="1" customWidth="1"/>
    <col min="8741" max="8960" width="7.69921875" style="61"/>
    <col min="8961" max="8961" width="1.796875" style="61" customWidth="1"/>
    <col min="8962" max="8962" width="8.296875" style="61" customWidth="1"/>
    <col min="8963" max="8969" width="3.19921875" style="61" customWidth="1"/>
    <col min="8970" max="8970" width="4.296875" style="61" customWidth="1"/>
    <col min="8971" max="8979" width="4.69921875" style="61" customWidth="1"/>
    <col min="8980" max="8980" width="3" style="61" customWidth="1"/>
    <col min="8981" max="8981" width="13.69921875" style="61" customWidth="1"/>
    <col min="8982" max="8982" width="26.69921875" style="61" customWidth="1"/>
    <col min="8983" max="8986" width="13.69921875" style="61" customWidth="1"/>
    <col min="8987" max="8992" width="7.69921875" style="61"/>
    <col min="8993" max="8996" width="0" style="61" hidden="1" customWidth="1"/>
    <col min="8997" max="9216" width="7.69921875" style="61"/>
    <col min="9217" max="9217" width="1.796875" style="61" customWidth="1"/>
    <col min="9218" max="9218" width="8.296875" style="61" customWidth="1"/>
    <col min="9219" max="9225" width="3.19921875" style="61" customWidth="1"/>
    <col min="9226" max="9226" width="4.296875" style="61" customWidth="1"/>
    <col min="9227" max="9235" width="4.69921875" style="61" customWidth="1"/>
    <col min="9236" max="9236" width="3" style="61" customWidth="1"/>
    <col min="9237" max="9237" width="13.69921875" style="61" customWidth="1"/>
    <col min="9238" max="9238" width="26.69921875" style="61" customWidth="1"/>
    <col min="9239" max="9242" width="13.69921875" style="61" customWidth="1"/>
    <col min="9243" max="9248" width="7.69921875" style="61"/>
    <col min="9249" max="9252" width="0" style="61" hidden="1" customWidth="1"/>
    <col min="9253" max="9472" width="7.69921875" style="61"/>
    <col min="9473" max="9473" width="1.796875" style="61" customWidth="1"/>
    <col min="9474" max="9474" width="8.296875" style="61" customWidth="1"/>
    <col min="9475" max="9481" width="3.19921875" style="61" customWidth="1"/>
    <col min="9482" max="9482" width="4.296875" style="61" customWidth="1"/>
    <col min="9483" max="9491" width="4.69921875" style="61" customWidth="1"/>
    <col min="9492" max="9492" width="3" style="61" customWidth="1"/>
    <col min="9493" max="9493" width="13.69921875" style="61" customWidth="1"/>
    <col min="9494" max="9494" width="26.69921875" style="61" customWidth="1"/>
    <col min="9495" max="9498" width="13.69921875" style="61" customWidth="1"/>
    <col min="9499" max="9504" width="7.69921875" style="61"/>
    <col min="9505" max="9508" width="0" style="61" hidden="1" customWidth="1"/>
    <col min="9509" max="9728" width="7.69921875" style="61"/>
    <col min="9729" max="9729" width="1.796875" style="61" customWidth="1"/>
    <col min="9730" max="9730" width="8.296875" style="61" customWidth="1"/>
    <col min="9731" max="9737" width="3.19921875" style="61" customWidth="1"/>
    <col min="9738" max="9738" width="4.296875" style="61" customWidth="1"/>
    <col min="9739" max="9747" width="4.69921875" style="61" customWidth="1"/>
    <col min="9748" max="9748" width="3" style="61" customWidth="1"/>
    <col min="9749" max="9749" width="13.69921875" style="61" customWidth="1"/>
    <col min="9750" max="9750" width="26.69921875" style="61" customWidth="1"/>
    <col min="9751" max="9754" width="13.69921875" style="61" customWidth="1"/>
    <col min="9755" max="9760" width="7.69921875" style="61"/>
    <col min="9761" max="9764" width="0" style="61" hidden="1" customWidth="1"/>
    <col min="9765" max="9984" width="7.69921875" style="61"/>
    <col min="9985" max="9985" width="1.796875" style="61" customWidth="1"/>
    <col min="9986" max="9986" width="8.296875" style="61" customWidth="1"/>
    <col min="9987" max="9993" width="3.19921875" style="61" customWidth="1"/>
    <col min="9994" max="9994" width="4.296875" style="61" customWidth="1"/>
    <col min="9995" max="10003" width="4.69921875" style="61" customWidth="1"/>
    <col min="10004" max="10004" width="3" style="61" customWidth="1"/>
    <col min="10005" max="10005" width="13.69921875" style="61" customWidth="1"/>
    <col min="10006" max="10006" width="26.69921875" style="61" customWidth="1"/>
    <col min="10007" max="10010" width="13.69921875" style="61" customWidth="1"/>
    <col min="10011" max="10016" width="7.69921875" style="61"/>
    <col min="10017" max="10020" width="0" style="61" hidden="1" customWidth="1"/>
    <col min="10021" max="10240" width="7.69921875" style="61"/>
    <col min="10241" max="10241" width="1.796875" style="61" customWidth="1"/>
    <col min="10242" max="10242" width="8.296875" style="61" customWidth="1"/>
    <col min="10243" max="10249" width="3.19921875" style="61" customWidth="1"/>
    <col min="10250" max="10250" width="4.296875" style="61" customWidth="1"/>
    <col min="10251" max="10259" width="4.69921875" style="61" customWidth="1"/>
    <col min="10260" max="10260" width="3" style="61" customWidth="1"/>
    <col min="10261" max="10261" width="13.69921875" style="61" customWidth="1"/>
    <col min="10262" max="10262" width="26.69921875" style="61" customWidth="1"/>
    <col min="10263" max="10266" width="13.69921875" style="61" customWidth="1"/>
    <col min="10267" max="10272" width="7.69921875" style="61"/>
    <col min="10273" max="10276" width="0" style="61" hidden="1" customWidth="1"/>
    <col min="10277" max="10496" width="7.69921875" style="61"/>
    <col min="10497" max="10497" width="1.796875" style="61" customWidth="1"/>
    <col min="10498" max="10498" width="8.296875" style="61" customWidth="1"/>
    <col min="10499" max="10505" width="3.19921875" style="61" customWidth="1"/>
    <col min="10506" max="10506" width="4.296875" style="61" customWidth="1"/>
    <col min="10507" max="10515" width="4.69921875" style="61" customWidth="1"/>
    <col min="10516" max="10516" width="3" style="61" customWidth="1"/>
    <col min="10517" max="10517" width="13.69921875" style="61" customWidth="1"/>
    <col min="10518" max="10518" width="26.69921875" style="61" customWidth="1"/>
    <col min="10519" max="10522" width="13.69921875" style="61" customWidth="1"/>
    <col min="10523" max="10528" width="7.69921875" style="61"/>
    <col min="10529" max="10532" width="0" style="61" hidden="1" customWidth="1"/>
    <col min="10533" max="10752" width="7.69921875" style="61"/>
    <col min="10753" max="10753" width="1.796875" style="61" customWidth="1"/>
    <col min="10754" max="10754" width="8.296875" style="61" customWidth="1"/>
    <col min="10755" max="10761" width="3.19921875" style="61" customWidth="1"/>
    <col min="10762" max="10762" width="4.296875" style="61" customWidth="1"/>
    <col min="10763" max="10771" width="4.69921875" style="61" customWidth="1"/>
    <col min="10772" max="10772" width="3" style="61" customWidth="1"/>
    <col min="10773" max="10773" width="13.69921875" style="61" customWidth="1"/>
    <col min="10774" max="10774" width="26.69921875" style="61" customWidth="1"/>
    <col min="10775" max="10778" width="13.69921875" style="61" customWidth="1"/>
    <col min="10779" max="10784" width="7.69921875" style="61"/>
    <col min="10785" max="10788" width="0" style="61" hidden="1" customWidth="1"/>
    <col min="10789" max="11008" width="7.69921875" style="61"/>
    <col min="11009" max="11009" width="1.796875" style="61" customWidth="1"/>
    <col min="11010" max="11010" width="8.296875" style="61" customWidth="1"/>
    <col min="11011" max="11017" width="3.19921875" style="61" customWidth="1"/>
    <col min="11018" max="11018" width="4.296875" style="61" customWidth="1"/>
    <col min="11019" max="11027" width="4.69921875" style="61" customWidth="1"/>
    <col min="11028" max="11028" width="3" style="61" customWidth="1"/>
    <col min="11029" max="11029" width="13.69921875" style="61" customWidth="1"/>
    <col min="11030" max="11030" width="26.69921875" style="61" customWidth="1"/>
    <col min="11031" max="11034" width="13.69921875" style="61" customWidth="1"/>
    <col min="11035" max="11040" width="7.69921875" style="61"/>
    <col min="11041" max="11044" width="0" style="61" hidden="1" customWidth="1"/>
    <col min="11045" max="11264" width="7.69921875" style="61"/>
    <col min="11265" max="11265" width="1.796875" style="61" customWidth="1"/>
    <col min="11266" max="11266" width="8.296875" style="61" customWidth="1"/>
    <col min="11267" max="11273" width="3.19921875" style="61" customWidth="1"/>
    <col min="11274" max="11274" width="4.296875" style="61" customWidth="1"/>
    <col min="11275" max="11283" width="4.69921875" style="61" customWidth="1"/>
    <col min="11284" max="11284" width="3" style="61" customWidth="1"/>
    <col min="11285" max="11285" width="13.69921875" style="61" customWidth="1"/>
    <col min="11286" max="11286" width="26.69921875" style="61" customWidth="1"/>
    <col min="11287" max="11290" width="13.69921875" style="61" customWidth="1"/>
    <col min="11291" max="11296" width="7.69921875" style="61"/>
    <col min="11297" max="11300" width="0" style="61" hidden="1" customWidth="1"/>
    <col min="11301" max="11520" width="7.69921875" style="61"/>
    <col min="11521" max="11521" width="1.796875" style="61" customWidth="1"/>
    <col min="11522" max="11522" width="8.296875" style="61" customWidth="1"/>
    <col min="11523" max="11529" width="3.19921875" style="61" customWidth="1"/>
    <col min="11530" max="11530" width="4.296875" style="61" customWidth="1"/>
    <col min="11531" max="11539" width="4.69921875" style="61" customWidth="1"/>
    <col min="11540" max="11540" width="3" style="61" customWidth="1"/>
    <col min="11541" max="11541" width="13.69921875" style="61" customWidth="1"/>
    <col min="11542" max="11542" width="26.69921875" style="61" customWidth="1"/>
    <col min="11543" max="11546" width="13.69921875" style="61" customWidth="1"/>
    <col min="11547" max="11552" width="7.69921875" style="61"/>
    <col min="11553" max="11556" width="0" style="61" hidden="1" customWidth="1"/>
    <col min="11557" max="11776" width="7.69921875" style="61"/>
    <col min="11777" max="11777" width="1.796875" style="61" customWidth="1"/>
    <col min="11778" max="11778" width="8.296875" style="61" customWidth="1"/>
    <col min="11779" max="11785" width="3.19921875" style="61" customWidth="1"/>
    <col min="11786" max="11786" width="4.296875" style="61" customWidth="1"/>
    <col min="11787" max="11795" width="4.69921875" style="61" customWidth="1"/>
    <col min="11796" max="11796" width="3" style="61" customWidth="1"/>
    <col min="11797" max="11797" width="13.69921875" style="61" customWidth="1"/>
    <col min="11798" max="11798" width="26.69921875" style="61" customWidth="1"/>
    <col min="11799" max="11802" width="13.69921875" style="61" customWidth="1"/>
    <col min="11803" max="11808" width="7.69921875" style="61"/>
    <col min="11809" max="11812" width="0" style="61" hidden="1" customWidth="1"/>
    <col min="11813" max="12032" width="7.69921875" style="61"/>
    <col min="12033" max="12033" width="1.796875" style="61" customWidth="1"/>
    <col min="12034" max="12034" width="8.296875" style="61" customWidth="1"/>
    <col min="12035" max="12041" width="3.19921875" style="61" customWidth="1"/>
    <col min="12042" max="12042" width="4.296875" style="61" customWidth="1"/>
    <col min="12043" max="12051" width="4.69921875" style="61" customWidth="1"/>
    <col min="12052" max="12052" width="3" style="61" customWidth="1"/>
    <col min="12053" max="12053" width="13.69921875" style="61" customWidth="1"/>
    <col min="12054" max="12054" width="26.69921875" style="61" customWidth="1"/>
    <col min="12055" max="12058" width="13.69921875" style="61" customWidth="1"/>
    <col min="12059" max="12064" width="7.69921875" style="61"/>
    <col min="12065" max="12068" width="0" style="61" hidden="1" customWidth="1"/>
    <col min="12069" max="12288" width="7.69921875" style="61"/>
    <col min="12289" max="12289" width="1.796875" style="61" customWidth="1"/>
    <col min="12290" max="12290" width="8.296875" style="61" customWidth="1"/>
    <col min="12291" max="12297" width="3.19921875" style="61" customWidth="1"/>
    <col min="12298" max="12298" width="4.296875" style="61" customWidth="1"/>
    <col min="12299" max="12307" width="4.69921875" style="61" customWidth="1"/>
    <col min="12308" max="12308" width="3" style="61" customWidth="1"/>
    <col min="12309" max="12309" width="13.69921875" style="61" customWidth="1"/>
    <col min="12310" max="12310" width="26.69921875" style="61" customWidth="1"/>
    <col min="12311" max="12314" width="13.69921875" style="61" customWidth="1"/>
    <col min="12315" max="12320" width="7.69921875" style="61"/>
    <col min="12321" max="12324" width="0" style="61" hidden="1" customWidth="1"/>
    <col min="12325" max="12544" width="7.69921875" style="61"/>
    <col min="12545" max="12545" width="1.796875" style="61" customWidth="1"/>
    <col min="12546" max="12546" width="8.296875" style="61" customWidth="1"/>
    <col min="12547" max="12553" width="3.19921875" style="61" customWidth="1"/>
    <col min="12554" max="12554" width="4.296875" style="61" customWidth="1"/>
    <col min="12555" max="12563" width="4.69921875" style="61" customWidth="1"/>
    <col min="12564" max="12564" width="3" style="61" customWidth="1"/>
    <col min="12565" max="12565" width="13.69921875" style="61" customWidth="1"/>
    <col min="12566" max="12566" width="26.69921875" style="61" customWidth="1"/>
    <col min="12567" max="12570" width="13.69921875" style="61" customWidth="1"/>
    <col min="12571" max="12576" width="7.69921875" style="61"/>
    <col min="12577" max="12580" width="0" style="61" hidden="1" customWidth="1"/>
    <col min="12581" max="12800" width="7.69921875" style="61"/>
    <col min="12801" max="12801" width="1.796875" style="61" customWidth="1"/>
    <col min="12802" max="12802" width="8.296875" style="61" customWidth="1"/>
    <col min="12803" max="12809" width="3.19921875" style="61" customWidth="1"/>
    <col min="12810" max="12810" width="4.296875" style="61" customWidth="1"/>
    <col min="12811" max="12819" width="4.69921875" style="61" customWidth="1"/>
    <col min="12820" max="12820" width="3" style="61" customWidth="1"/>
    <col min="12821" max="12821" width="13.69921875" style="61" customWidth="1"/>
    <col min="12822" max="12822" width="26.69921875" style="61" customWidth="1"/>
    <col min="12823" max="12826" width="13.69921875" style="61" customWidth="1"/>
    <col min="12827" max="12832" width="7.69921875" style="61"/>
    <col min="12833" max="12836" width="0" style="61" hidden="1" customWidth="1"/>
    <col min="12837" max="13056" width="7.69921875" style="61"/>
    <col min="13057" max="13057" width="1.796875" style="61" customWidth="1"/>
    <col min="13058" max="13058" width="8.296875" style="61" customWidth="1"/>
    <col min="13059" max="13065" width="3.19921875" style="61" customWidth="1"/>
    <col min="13066" max="13066" width="4.296875" style="61" customWidth="1"/>
    <col min="13067" max="13075" width="4.69921875" style="61" customWidth="1"/>
    <col min="13076" max="13076" width="3" style="61" customWidth="1"/>
    <col min="13077" max="13077" width="13.69921875" style="61" customWidth="1"/>
    <col min="13078" max="13078" width="26.69921875" style="61" customWidth="1"/>
    <col min="13079" max="13082" width="13.69921875" style="61" customWidth="1"/>
    <col min="13083" max="13088" width="7.69921875" style="61"/>
    <col min="13089" max="13092" width="0" style="61" hidden="1" customWidth="1"/>
    <col min="13093" max="13312" width="7.69921875" style="61"/>
    <col min="13313" max="13313" width="1.796875" style="61" customWidth="1"/>
    <col min="13314" max="13314" width="8.296875" style="61" customWidth="1"/>
    <col min="13315" max="13321" width="3.19921875" style="61" customWidth="1"/>
    <col min="13322" max="13322" width="4.296875" style="61" customWidth="1"/>
    <col min="13323" max="13331" width="4.69921875" style="61" customWidth="1"/>
    <col min="13332" max="13332" width="3" style="61" customWidth="1"/>
    <col min="13333" max="13333" width="13.69921875" style="61" customWidth="1"/>
    <col min="13334" max="13334" width="26.69921875" style="61" customWidth="1"/>
    <col min="13335" max="13338" width="13.69921875" style="61" customWidth="1"/>
    <col min="13339" max="13344" width="7.69921875" style="61"/>
    <col min="13345" max="13348" width="0" style="61" hidden="1" customWidth="1"/>
    <col min="13349" max="13568" width="7.69921875" style="61"/>
    <col min="13569" max="13569" width="1.796875" style="61" customWidth="1"/>
    <col min="13570" max="13570" width="8.296875" style="61" customWidth="1"/>
    <col min="13571" max="13577" width="3.19921875" style="61" customWidth="1"/>
    <col min="13578" max="13578" width="4.296875" style="61" customWidth="1"/>
    <col min="13579" max="13587" width="4.69921875" style="61" customWidth="1"/>
    <col min="13588" max="13588" width="3" style="61" customWidth="1"/>
    <col min="13589" max="13589" width="13.69921875" style="61" customWidth="1"/>
    <col min="13590" max="13590" width="26.69921875" style="61" customWidth="1"/>
    <col min="13591" max="13594" width="13.69921875" style="61" customWidth="1"/>
    <col min="13595" max="13600" width="7.69921875" style="61"/>
    <col min="13601" max="13604" width="0" style="61" hidden="1" customWidth="1"/>
    <col min="13605" max="13824" width="7.69921875" style="61"/>
    <col min="13825" max="13825" width="1.796875" style="61" customWidth="1"/>
    <col min="13826" max="13826" width="8.296875" style="61" customWidth="1"/>
    <col min="13827" max="13833" width="3.19921875" style="61" customWidth="1"/>
    <col min="13834" max="13834" width="4.296875" style="61" customWidth="1"/>
    <col min="13835" max="13843" width="4.69921875" style="61" customWidth="1"/>
    <col min="13844" max="13844" width="3" style="61" customWidth="1"/>
    <col min="13845" max="13845" width="13.69921875" style="61" customWidth="1"/>
    <col min="13846" max="13846" width="26.69921875" style="61" customWidth="1"/>
    <col min="13847" max="13850" width="13.69921875" style="61" customWidth="1"/>
    <col min="13851" max="13856" width="7.69921875" style="61"/>
    <col min="13857" max="13860" width="0" style="61" hidden="1" customWidth="1"/>
    <col min="13861" max="14080" width="7.69921875" style="61"/>
    <col min="14081" max="14081" width="1.796875" style="61" customWidth="1"/>
    <col min="14082" max="14082" width="8.296875" style="61" customWidth="1"/>
    <col min="14083" max="14089" width="3.19921875" style="61" customWidth="1"/>
    <col min="14090" max="14090" width="4.296875" style="61" customWidth="1"/>
    <col min="14091" max="14099" width="4.69921875" style="61" customWidth="1"/>
    <col min="14100" max="14100" width="3" style="61" customWidth="1"/>
    <col min="14101" max="14101" width="13.69921875" style="61" customWidth="1"/>
    <col min="14102" max="14102" width="26.69921875" style="61" customWidth="1"/>
    <col min="14103" max="14106" width="13.69921875" style="61" customWidth="1"/>
    <col min="14107" max="14112" width="7.69921875" style="61"/>
    <col min="14113" max="14116" width="0" style="61" hidden="1" customWidth="1"/>
    <col min="14117" max="14336" width="7.69921875" style="61"/>
    <col min="14337" max="14337" width="1.796875" style="61" customWidth="1"/>
    <col min="14338" max="14338" width="8.296875" style="61" customWidth="1"/>
    <col min="14339" max="14345" width="3.19921875" style="61" customWidth="1"/>
    <col min="14346" max="14346" width="4.296875" style="61" customWidth="1"/>
    <col min="14347" max="14355" width="4.69921875" style="61" customWidth="1"/>
    <col min="14356" max="14356" width="3" style="61" customWidth="1"/>
    <col min="14357" max="14357" width="13.69921875" style="61" customWidth="1"/>
    <col min="14358" max="14358" width="26.69921875" style="61" customWidth="1"/>
    <col min="14359" max="14362" width="13.69921875" style="61" customWidth="1"/>
    <col min="14363" max="14368" width="7.69921875" style="61"/>
    <col min="14369" max="14372" width="0" style="61" hidden="1" customWidth="1"/>
    <col min="14373" max="14592" width="7.69921875" style="61"/>
    <col min="14593" max="14593" width="1.796875" style="61" customWidth="1"/>
    <col min="14594" max="14594" width="8.296875" style="61" customWidth="1"/>
    <col min="14595" max="14601" width="3.19921875" style="61" customWidth="1"/>
    <col min="14602" max="14602" width="4.296875" style="61" customWidth="1"/>
    <col min="14603" max="14611" width="4.69921875" style="61" customWidth="1"/>
    <col min="14612" max="14612" width="3" style="61" customWidth="1"/>
    <col min="14613" max="14613" width="13.69921875" style="61" customWidth="1"/>
    <col min="14614" max="14614" width="26.69921875" style="61" customWidth="1"/>
    <col min="14615" max="14618" width="13.69921875" style="61" customWidth="1"/>
    <col min="14619" max="14624" width="7.69921875" style="61"/>
    <col min="14625" max="14628" width="0" style="61" hidden="1" customWidth="1"/>
    <col min="14629" max="14848" width="7.69921875" style="61"/>
    <col min="14849" max="14849" width="1.796875" style="61" customWidth="1"/>
    <col min="14850" max="14850" width="8.296875" style="61" customWidth="1"/>
    <col min="14851" max="14857" width="3.19921875" style="61" customWidth="1"/>
    <col min="14858" max="14858" width="4.296875" style="61" customWidth="1"/>
    <col min="14859" max="14867" width="4.69921875" style="61" customWidth="1"/>
    <col min="14868" max="14868" width="3" style="61" customWidth="1"/>
    <col min="14869" max="14869" width="13.69921875" style="61" customWidth="1"/>
    <col min="14870" max="14870" width="26.69921875" style="61" customWidth="1"/>
    <col min="14871" max="14874" width="13.69921875" style="61" customWidth="1"/>
    <col min="14875" max="14880" width="7.69921875" style="61"/>
    <col min="14881" max="14884" width="0" style="61" hidden="1" customWidth="1"/>
    <col min="14885" max="15104" width="7.69921875" style="61"/>
    <col min="15105" max="15105" width="1.796875" style="61" customWidth="1"/>
    <col min="15106" max="15106" width="8.296875" style="61" customWidth="1"/>
    <col min="15107" max="15113" width="3.19921875" style="61" customWidth="1"/>
    <col min="15114" max="15114" width="4.296875" style="61" customWidth="1"/>
    <col min="15115" max="15123" width="4.69921875" style="61" customWidth="1"/>
    <col min="15124" max="15124" width="3" style="61" customWidth="1"/>
    <col min="15125" max="15125" width="13.69921875" style="61" customWidth="1"/>
    <col min="15126" max="15126" width="26.69921875" style="61" customWidth="1"/>
    <col min="15127" max="15130" width="13.69921875" style="61" customWidth="1"/>
    <col min="15131" max="15136" width="7.69921875" style="61"/>
    <col min="15137" max="15140" width="0" style="61" hidden="1" customWidth="1"/>
    <col min="15141" max="15360" width="7.69921875" style="61"/>
    <col min="15361" max="15361" width="1.796875" style="61" customWidth="1"/>
    <col min="15362" max="15362" width="8.296875" style="61" customWidth="1"/>
    <col min="15363" max="15369" width="3.19921875" style="61" customWidth="1"/>
    <col min="15370" max="15370" width="4.296875" style="61" customWidth="1"/>
    <col min="15371" max="15379" width="4.69921875" style="61" customWidth="1"/>
    <col min="15380" max="15380" width="3" style="61" customWidth="1"/>
    <col min="15381" max="15381" width="13.69921875" style="61" customWidth="1"/>
    <col min="15382" max="15382" width="26.69921875" style="61" customWidth="1"/>
    <col min="15383" max="15386" width="13.69921875" style="61" customWidth="1"/>
    <col min="15387" max="15392" width="7.69921875" style="61"/>
    <col min="15393" max="15396" width="0" style="61" hidden="1" customWidth="1"/>
    <col min="15397" max="15616" width="7.69921875" style="61"/>
    <col min="15617" max="15617" width="1.796875" style="61" customWidth="1"/>
    <col min="15618" max="15618" width="8.296875" style="61" customWidth="1"/>
    <col min="15619" max="15625" width="3.19921875" style="61" customWidth="1"/>
    <col min="15626" max="15626" width="4.296875" style="61" customWidth="1"/>
    <col min="15627" max="15635" width="4.69921875" style="61" customWidth="1"/>
    <col min="15636" max="15636" width="3" style="61" customWidth="1"/>
    <col min="15637" max="15637" width="13.69921875" style="61" customWidth="1"/>
    <col min="15638" max="15638" width="26.69921875" style="61" customWidth="1"/>
    <col min="15639" max="15642" width="13.69921875" style="61" customWidth="1"/>
    <col min="15643" max="15648" width="7.69921875" style="61"/>
    <col min="15649" max="15652" width="0" style="61" hidden="1" customWidth="1"/>
    <col min="15653" max="15872" width="7.69921875" style="61"/>
    <col min="15873" max="15873" width="1.796875" style="61" customWidth="1"/>
    <col min="15874" max="15874" width="8.296875" style="61" customWidth="1"/>
    <col min="15875" max="15881" width="3.19921875" style="61" customWidth="1"/>
    <col min="15882" max="15882" width="4.296875" style="61" customWidth="1"/>
    <col min="15883" max="15891" width="4.69921875" style="61" customWidth="1"/>
    <col min="15892" max="15892" width="3" style="61" customWidth="1"/>
    <col min="15893" max="15893" width="13.69921875" style="61" customWidth="1"/>
    <col min="15894" max="15894" width="26.69921875" style="61" customWidth="1"/>
    <col min="15895" max="15898" width="13.69921875" style="61" customWidth="1"/>
    <col min="15899" max="15904" width="7.69921875" style="61"/>
    <col min="15905" max="15908" width="0" style="61" hidden="1" customWidth="1"/>
    <col min="15909" max="16128" width="7.69921875" style="61"/>
    <col min="16129" max="16129" width="1.796875" style="61" customWidth="1"/>
    <col min="16130" max="16130" width="8.296875" style="61" customWidth="1"/>
    <col min="16131" max="16137" width="3.19921875" style="61" customWidth="1"/>
    <col min="16138" max="16138" width="4.296875" style="61" customWidth="1"/>
    <col min="16139" max="16147" width="4.69921875" style="61" customWidth="1"/>
    <col min="16148" max="16148" width="3" style="61" customWidth="1"/>
    <col min="16149" max="16149" width="13.69921875" style="61" customWidth="1"/>
    <col min="16150" max="16150" width="26.69921875" style="61" customWidth="1"/>
    <col min="16151" max="16154" width="13.69921875" style="61" customWidth="1"/>
    <col min="16155" max="16160" width="7.69921875" style="61"/>
    <col min="16161" max="16164" width="0" style="61" hidden="1" customWidth="1"/>
    <col min="16165" max="16384" width="7.69921875" style="61"/>
  </cols>
  <sheetData>
    <row r="1" spans="1:36" s="66" customFormat="1" ht="15" customHeight="1">
      <c r="T1" s="184"/>
      <c r="V1" s="65" t="s">
        <v>392</v>
      </c>
    </row>
    <row r="2" spans="1:36" s="74" customFormat="1" ht="15" customHeight="1">
      <c r="A2" s="75" t="s">
        <v>393</v>
      </c>
      <c r="B2" s="65"/>
      <c r="C2" s="65"/>
      <c r="D2" s="65"/>
      <c r="E2" s="65"/>
      <c r="F2" s="65"/>
      <c r="G2" s="65"/>
      <c r="H2" s="65"/>
      <c r="I2" s="65"/>
      <c r="J2" s="65"/>
      <c r="K2" s="65"/>
      <c r="L2" s="65"/>
      <c r="M2" s="65"/>
      <c r="N2" s="65"/>
      <c r="O2" s="65"/>
      <c r="P2" s="65"/>
      <c r="Q2" s="158" t="str">
        <f>'SP11-1'!$L$2</f>
        <v>Spreadsheet released 14-Apr-2023</v>
      </c>
      <c r="R2" s="65"/>
      <c r="S2" s="65"/>
      <c r="T2" s="65"/>
      <c r="V2" s="159" t="s">
        <v>394</v>
      </c>
      <c r="W2" s="65"/>
      <c r="X2" s="65"/>
      <c r="Y2" s="65"/>
    </row>
    <row r="3" spans="1:36" s="66" customFormat="1" ht="15" customHeight="1">
      <c r="A3" s="73" t="s">
        <v>517</v>
      </c>
      <c r="B3" s="65"/>
      <c r="C3" s="65"/>
      <c r="D3" s="65"/>
      <c r="E3" s="65"/>
      <c r="F3" s="65"/>
      <c r="G3" s="65"/>
      <c r="H3" s="65"/>
      <c r="I3" s="65"/>
      <c r="J3" s="65"/>
      <c r="K3" s="65"/>
      <c r="L3" s="65"/>
      <c r="M3" s="65"/>
      <c r="N3" s="65"/>
      <c r="O3" s="65"/>
      <c r="P3" s="65"/>
      <c r="Q3" s="65"/>
      <c r="R3" s="65"/>
      <c r="S3" s="65"/>
      <c r="T3" s="70"/>
      <c r="U3" s="65"/>
      <c r="V3" s="65"/>
      <c r="W3" s="65"/>
      <c r="X3" s="65"/>
      <c r="Y3" s="65"/>
    </row>
    <row r="4" spans="1:36" s="74" customFormat="1" ht="15" customHeight="1">
      <c r="A4" s="75"/>
      <c r="B4" s="685" t="s">
        <v>518</v>
      </c>
      <c r="C4" s="686"/>
      <c r="D4" s="686"/>
      <c r="E4" s="686"/>
      <c r="F4" s="686"/>
      <c r="G4" s="686"/>
      <c r="H4" s="686"/>
      <c r="I4" s="686"/>
      <c r="J4" s="686"/>
      <c r="K4" s="686"/>
      <c r="L4" s="686"/>
      <c r="M4" s="686"/>
      <c r="N4" s="686"/>
      <c r="O4" s="686"/>
      <c r="P4" s="686"/>
      <c r="Q4" s="686"/>
      <c r="R4" s="686"/>
      <c r="S4" s="686"/>
      <c r="T4" s="686"/>
      <c r="U4" s="65"/>
      <c r="V4" s="65"/>
      <c r="W4" s="65"/>
      <c r="X4" s="65"/>
      <c r="Y4" s="65"/>
    </row>
    <row r="5" spans="1:36" s="66" customFormat="1" ht="11.25" customHeight="1">
      <c r="A5" s="70"/>
      <c r="B5" s="65"/>
      <c r="C5" s="65"/>
      <c r="D5" s="65"/>
      <c r="E5" s="65"/>
      <c r="F5" s="65"/>
      <c r="G5" s="65"/>
      <c r="H5" s="65"/>
      <c r="I5" s="65"/>
      <c r="J5" s="65"/>
      <c r="K5" s="65"/>
      <c r="L5" s="65"/>
      <c r="M5" s="65"/>
      <c r="N5" s="65"/>
      <c r="O5" s="65"/>
      <c r="P5" s="65"/>
      <c r="Q5" s="65"/>
      <c r="R5" s="65"/>
      <c r="S5" s="65"/>
      <c r="T5" s="70"/>
      <c r="U5" s="65"/>
      <c r="V5" s="65"/>
      <c r="W5" s="65"/>
    </row>
    <row r="6" spans="1:36" s="66" customFormat="1" ht="3.75" customHeight="1">
      <c r="A6" s="271"/>
      <c r="B6" s="274"/>
      <c r="C6" s="274"/>
      <c r="D6" s="274"/>
      <c r="E6" s="274"/>
      <c r="F6" s="274"/>
      <c r="G6" s="274"/>
      <c r="H6" s="274"/>
      <c r="I6" s="274"/>
      <c r="J6" s="274"/>
      <c r="K6" s="274"/>
      <c r="L6" s="274"/>
      <c r="M6" s="274"/>
      <c r="N6" s="274"/>
      <c r="O6" s="274"/>
      <c r="P6" s="274"/>
      <c r="Q6" s="274"/>
      <c r="R6" s="274"/>
      <c r="S6" s="274"/>
      <c r="T6" s="271"/>
      <c r="U6" s="65"/>
      <c r="V6" s="65"/>
      <c r="W6" s="65"/>
      <c r="AG6" s="65" t="s">
        <v>519</v>
      </c>
      <c r="AH6" s="65"/>
    </row>
    <row r="7" spans="1:36" s="66" customFormat="1" ht="19.5" customHeight="1">
      <c r="A7" s="402">
        <v>1</v>
      </c>
      <c r="B7" s="655" t="s">
        <v>520</v>
      </c>
      <c r="C7" s="655"/>
      <c r="D7" s="655"/>
      <c r="E7" s="655"/>
      <c r="F7" s="655"/>
      <c r="G7" s="655"/>
      <c r="H7" s="655"/>
      <c r="I7" s="655"/>
      <c r="J7" s="655"/>
      <c r="K7" s="655"/>
      <c r="L7" s="655"/>
      <c r="M7" s="655"/>
      <c r="N7" s="655"/>
      <c r="O7" s="399"/>
      <c r="P7" s="399"/>
      <c r="Q7" s="399"/>
      <c r="R7" s="399"/>
      <c r="S7" s="399"/>
      <c r="T7" s="271"/>
      <c r="U7" s="65"/>
      <c r="V7" s="65"/>
      <c r="W7" s="65"/>
      <c r="AG7" s="65"/>
      <c r="AH7" s="65"/>
    </row>
    <row r="8" spans="1:36" s="66" customFormat="1" ht="19.5" customHeight="1">
      <c r="A8" s="398"/>
      <c r="B8" s="399"/>
      <c r="C8" s="399"/>
      <c r="D8" s="399"/>
      <c r="E8" s="399"/>
      <c r="F8" s="399"/>
      <c r="G8" s="400"/>
      <c r="H8" s="400"/>
      <c r="I8" s="400"/>
      <c r="J8" s="400" t="s">
        <v>267</v>
      </c>
      <c r="K8" s="689"/>
      <c r="L8" s="689"/>
      <c r="M8" s="689"/>
      <c r="N8" s="399" t="s">
        <v>495</v>
      </c>
      <c r="O8" s="399">
        <f>'Tables NEW TABLES'!K281</f>
        <v>0.96150000000000002</v>
      </c>
      <c r="P8" s="400" t="s">
        <v>521</v>
      </c>
      <c r="Q8" s="687">
        <f>K8*O8</f>
        <v>0</v>
      </c>
      <c r="R8" s="687"/>
      <c r="S8" s="687"/>
      <c r="T8" s="273" t="s">
        <v>497</v>
      </c>
      <c r="U8" s="65"/>
      <c r="V8" s="65"/>
      <c r="W8" s="65"/>
      <c r="AG8" s="163">
        <v>0.04</v>
      </c>
      <c r="AH8" s="65"/>
      <c r="AI8" s="191">
        <v>0.08</v>
      </c>
    </row>
    <row r="9" spans="1:36" s="186" customFormat="1" ht="4.5" customHeight="1">
      <c r="A9" s="398"/>
      <c r="B9" s="399"/>
      <c r="C9" s="399"/>
      <c r="D9" s="399"/>
      <c r="E9" s="399"/>
      <c r="F9" s="399"/>
      <c r="G9" s="400"/>
      <c r="H9" s="400"/>
      <c r="I9" s="400"/>
      <c r="J9" s="400"/>
      <c r="K9" s="400"/>
      <c r="L9" s="400"/>
      <c r="M9" s="400"/>
      <c r="N9" s="400"/>
      <c r="O9" s="400"/>
      <c r="P9" s="400"/>
      <c r="Q9" s="400"/>
      <c r="R9" s="400"/>
      <c r="S9" s="400"/>
      <c r="T9" s="397"/>
      <c r="U9" s="185"/>
      <c r="V9" s="185"/>
      <c r="W9" s="185"/>
      <c r="AG9" s="65">
        <v>0.96</v>
      </c>
      <c r="AH9" s="65">
        <f>$K8*AG9</f>
        <v>0</v>
      </c>
      <c r="AI9" s="66">
        <v>0.92</v>
      </c>
      <c r="AJ9" s="65">
        <f>$K8*AI9</f>
        <v>0</v>
      </c>
    </row>
    <row r="10" spans="1:36" s="193" customFormat="1" ht="4.5" customHeight="1">
      <c r="A10" s="398"/>
      <c r="B10" s="399"/>
      <c r="C10" s="399"/>
      <c r="D10" s="399"/>
      <c r="E10" s="399"/>
      <c r="F10" s="399"/>
      <c r="G10" s="400"/>
      <c r="H10" s="400"/>
      <c r="I10" s="400"/>
      <c r="J10" s="400"/>
      <c r="K10" s="400"/>
      <c r="L10" s="400"/>
      <c r="M10" s="400"/>
      <c r="N10" s="400"/>
      <c r="O10" s="400"/>
      <c r="P10" s="400"/>
      <c r="Q10" s="400"/>
      <c r="R10" s="400"/>
      <c r="S10" s="400"/>
      <c r="T10" s="419"/>
      <c r="U10" s="192"/>
      <c r="V10" s="192"/>
      <c r="W10" s="192"/>
      <c r="AG10" s="185"/>
      <c r="AH10" s="185"/>
      <c r="AI10" s="186"/>
      <c r="AJ10" s="186"/>
    </row>
    <row r="11" spans="1:36" s="66" customFormat="1" ht="19.5" customHeight="1">
      <c r="A11" s="402">
        <v>2</v>
      </c>
      <c r="B11" s="655" t="s">
        <v>522</v>
      </c>
      <c r="C11" s="655"/>
      <c r="D11" s="655"/>
      <c r="E11" s="655"/>
      <c r="F11" s="655"/>
      <c r="G11" s="655"/>
      <c r="H11" s="399"/>
      <c r="I11" s="399"/>
      <c r="J11" s="399"/>
      <c r="K11" s="399"/>
      <c r="L11" s="399"/>
      <c r="M11" s="399"/>
      <c r="N11" s="399"/>
      <c r="O11" s="399"/>
      <c r="P11" s="400" t="s">
        <v>267</v>
      </c>
      <c r="Q11" s="689"/>
      <c r="R11" s="689"/>
      <c r="S11" s="689"/>
      <c r="T11" s="273" t="s">
        <v>508</v>
      </c>
      <c r="U11" s="65"/>
      <c r="V11" s="65"/>
      <c r="W11" s="65"/>
      <c r="AG11" s="192"/>
      <c r="AH11" s="192"/>
      <c r="AI11" s="193"/>
      <c r="AJ11" s="193"/>
    </row>
    <row r="12" spans="1:36" s="186" customFormat="1" ht="4.5" customHeight="1">
      <c r="A12" s="398"/>
      <c r="B12" s="399"/>
      <c r="C12" s="399"/>
      <c r="D12" s="399"/>
      <c r="E12" s="399"/>
      <c r="F12" s="399"/>
      <c r="G12" s="400"/>
      <c r="H12" s="400"/>
      <c r="I12" s="400"/>
      <c r="J12" s="400"/>
      <c r="K12" s="400"/>
      <c r="L12" s="400"/>
      <c r="M12" s="400"/>
      <c r="N12" s="400"/>
      <c r="O12" s="400"/>
      <c r="P12" s="400"/>
      <c r="Q12" s="400"/>
      <c r="R12" s="400"/>
      <c r="S12" s="400"/>
      <c r="T12" s="397"/>
      <c r="U12" s="185"/>
      <c r="V12" s="185"/>
      <c r="W12" s="185"/>
      <c r="AG12" s="65"/>
      <c r="AH12" s="79">
        <f>$Q11</f>
        <v>0</v>
      </c>
      <c r="AI12" s="66"/>
      <c r="AJ12" s="79">
        <f>$Q11</f>
        <v>0</v>
      </c>
    </row>
    <row r="13" spans="1:36" s="193" customFormat="1" ht="4.5" customHeight="1">
      <c r="A13" s="398"/>
      <c r="B13" s="399"/>
      <c r="C13" s="399"/>
      <c r="D13" s="399"/>
      <c r="E13" s="399"/>
      <c r="F13" s="399"/>
      <c r="G13" s="400"/>
      <c r="H13" s="400"/>
      <c r="I13" s="400"/>
      <c r="J13" s="400"/>
      <c r="K13" s="400"/>
      <c r="L13" s="400"/>
      <c r="M13" s="400"/>
      <c r="N13" s="400"/>
      <c r="O13" s="400"/>
      <c r="P13" s="400"/>
      <c r="Q13" s="400"/>
      <c r="R13" s="400"/>
      <c r="S13" s="400"/>
      <c r="T13" s="419"/>
      <c r="U13" s="192"/>
      <c r="V13" s="192"/>
      <c r="W13" s="192"/>
      <c r="AG13" s="185"/>
      <c r="AH13" s="185"/>
      <c r="AI13" s="186"/>
      <c r="AJ13" s="186"/>
    </row>
    <row r="14" spans="1:36" s="66" customFormat="1" ht="19.5" customHeight="1">
      <c r="A14" s="402">
        <v>3</v>
      </c>
      <c r="B14" s="655" t="s">
        <v>523</v>
      </c>
      <c r="C14" s="655"/>
      <c r="D14" s="655"/>
      <c r="E14" s="655"/>
      <c r="F14" s="655"/>
      <c r="G14" s="655"/>
      <c r="H14" s="655"/>
      <c r="I14" s="655"/>
      <c r="J14" s="655"/>
      <c r="K14" s="655"/>
      <c r="L14" s="399"/>
      <c r="M14" s="399"/>
      <c r="N14" s="399"/>
      <c r="O14" s="399"/>
      <c r="P14" s="399"/>
      <c r="Q14" s="399"/>
      <c r="R14" s="399"/>
      <c r="S14" s="399"/>
      <c r="T14" s="273"/>
      <c r="U14" s="65"/>
      <c r="V14" s="65"/>
      <c r="W14" s="65"/>
      <c r="AG14" s="192"/>
      <c r="AH14" s="192"/>
      <c r="AI14" s="193"/>
      <c r="AJ14" s="193"/>
    </row>
    <row r="15" spans="1:36" s="66" customFormat="1" ht="19.5" customHeight="1">
      <c r="A15" s="398"/>
      <c r="B15" s="399"/>
      <c r="C15" s="399"/>
      <c r="D15" s="399"/>
      <c r="E15" s="399"/>
      <c r="F15" s="400" t="s">
        <v>524</v>
      </c>
      <c r="G15" s="400">
        <f>'SP11-1'!I28</f>
        <v>0</v>
      </c>
      <c r="H15" s="400"/>
      <c r="I15" s="400"/>
      <c r="J15" s="400" t="s">
        <v>535</v>
      </c>
      <c r="K15" s="689"/>
      <c r="L15" s="689"/>
      <c r="M15" s="689"/>
      <c r="N15" s="399" t="s">
        <v>495</v>
      </c>
      <c r="O15" s="403">
        <f>'Tables NEW TABLES'!K280-'Tables NEW TABLES'!K279</f>
        <v>-0.98064352657801512</v>
      </c>
      <c r="P15" s="400" t="s">
        <v>521</v>
      </c>
      <c r="Q15" s="687">
        <f>K15*O15</f>
        <v>0</v>
      </c>
      <c r="R15" s="687"/>
      <c r="S15" s="687"/>
      <c r="T15" s="273" t="s">
        <v>511</v>
      </c>
      <c r="U15" s="65"/>
      <c r="V15" s="620" t="s">
        <v>983</v>
      </c>
      <c r="W15" s="620"/>
      <c r="X15" s="620"/>
      <c r="Y15" s="620"/>
      <c r="Z15" s="620"/>
      <c r="AG15" s="65"/>
      <c r="AH15" s="65"/>
    </row>
    <row r="16" spans="1:36" s="186" customFormat="1" ht="3.75" customHeight="1">
      <c r="A16" s="398"/>
      <c r="B16" s="399"/>
      <c r="C16" s="399"/>
      <c r="D16" s="399"/>
      <c r="E16" s="399"/>
      <c r="F16" s="399"/>
      <c r="G16" s="400"/>
      <c r="H16" s="400"/>
      <c r="I16" s="400"/>
      <c r="J16" s="400"/>
      <c r="K16" s="400"/>
      <c r="L16" s="400"/>
      <c r="M16" s="400"/>
      <c r="N16" s="400"/>
      <c r="O16" s="400"/>
      <c r="P16" s="400"/>
      <c r="Q16" s="400"/>
      <c r="R16" s="400"/>
      <c r="S16" s="400"/>
      <c r="T16" s="397"/>
      <c r="U16" s="185"/>
      <c r="V16" s="65"/>
      <c r="W16" s="65"/>
      <c r="X16" s="65"/>
      <c r="Y16" s="65"/>
      <c r="Z16" s="66"/>
      <c r="AG16" s="65">
        <v>19.21</v>
      </c>
      <c r="AH16" s="65">
        <f>$K15*AG16</f>
        <v>0</v>
      </c>
      <c r="AI16" s="66">
        <v>11.44</v>
      </c>
      <c r="AJ16" s="65">
        <f>$K15*AI16</f>
        <v>0</v>
      </c>
    </row>
    <row r="17" spans="1:36" s="66" customFormat="1" ht="19.5" customHeight="1">
      <c r="A17" s="402">
        <v>4</v>
      </c>
      <c r="B17" s="655" t="s">
        <v>526</v>
      </c>
      <c r="C17" s="655"/>
      <c r="D17" s="655"/>
      <c r="E17" s="655"/>
      <c r="F17" s="655"/>
      <c r="G17" s="655"/>
      <c r="H17" s="655"/>
      <c r="I17" s="399"/>
      <c r="J17" s="399"/>
      <c r="K17" s="399"/>
      <c r="L17" s="399"/>
      <c r="M17" s="399"/>
      <c r="N17" s="399"/>
      <c r="O17" s="399"/>
      <c r="P17" s="399"/>
      <c r="Q17" s="399"/>
      <c r="R17" s="399"/>
      <c r="S17" s="399"/>
      <c r="T17" s="271"/>
      <c r="U17" s="65"/>
      <c r="V17" s="65"/>
      <c r="W17" s="65"/>
      <c r="X17" s="65"/>
      <c r="Y17" s="65"/>
      <c r="AG17" s="185"/>
      <c r="AH17" s="185"/>
      <c r="AI17" s="186"/>
      <c r="AJ17" s="186"/>
    </row>
    <row r="18" spans="1:36" s="66" customFormat="1" ht="19.5" customHeight="1">
      <c r="A18" s="398"/>
      <c r="B18" s="399" t="s">
        <v>499</v>
      </c>
      <c r="C18" s="399"/>
      <c r="D18" s="399"/>
      <c r="E18" s="399"/>
      <c r="F18" s="399"/>
      <c r="G18" s="399"/>
      <c r="H18" s="399"/>
      <c r="I18" s="399"/>
      <c r="J18" s="399"/>
      <c r="K18" s="399"/>
      <c r="L18" s="399"/>
      <c r="M18" s="399"/>
      <c r="N18" s="399"/>
      <c r="O18" s="399"/>
      <c r="P18" s="400" t="s">
        <v>500</v>
      </c>
      <c r="Q18" s="694">
        <f>'SP11-1'!I26</f>
        <v>0</v>
      </c>
      <c r="R18" s="694"/>
      <c r="S18" s="694"/>
      <c r="T18" s="271"/>
      <c r="U18" s="65"/>
      <c r="V18" s="65"/>
      <c r="W18" s="65"/>
      <c r="X18" s="65"/>
      <c r="Y18" s="65"/>
      <c r="AG18" s="65"/>
      <c r="AH18" s="65"/>
    </row>
    <row r="19" spans="1:36" s="66" customFormat="1" ht="19.5" customHeight="1">
      <c r="A19" s="398"/>
      <c r="B19" s="399" t="s">
        <v>501</v>
      </c>
      <c r="C19" s="399"/>
      <c r="D19" s="399"/>
      <c r="E19" s="399"/>
      <c r="F19" s="399"/>
      <c r="G19" s="399"/>
      <c r="H19" s="399"/>
      <c r="I19" s="399"/>
      <c r="J19" s="399"/>
      <c r="K19" s="399"/>
      <c r="L19" s="399"/>
      <c r="M19" s="399"/>
      <c r="N19" s="399"/>
      <c r="O19" s="399"/>
      <c r="P19" s="399"/>
      <c r="Q19" s="399"/>
      <c r="R19" s="399"/>
      <c r="S19" s="399"/>
      <c r="T19" s="271"/>
      <c r="U19" s="65"/>
      <c r="AG19" s="65"/>
      <c r="AH19" s="65"/>
    </row>
    <row r="20" spans="1:36" s="66" customFormat="1" ht="19.5" customHeight="1">
      <c r="A20" s="398"/>
      <c r="B20" s="420" t="s">
        <v>502</v>
      </c>
      <c r="C20" s="693" t="s">
        <v>503</v>
      </c>
      <c r="D20" s="693"/>
      <c r="E20" s="693"/>
      <c r="F20" s="693"/>
      <c r="G20" s="693"/>
      <c r="H20" s="693"/>
      <c r="I20" s="693"/>
      <c r="J20" s="693"/>
      <c r="K20" s="693" t="s">
        <v>504</v>
      </c>
      <c r="L20" s="693"/>
      <c r="M20" s="693"/>
      <c r="N20" s="693" t="s">
        <v>505</v>
      </c>
      <c r="O20" s="693"/>
      <c r="P20" s="693"/>
      <c r="Q20" s="693" t="s">
        <v>281</v>
      </c>
      <c r="R20" s="693"/>
      <c r="S20" s="693"/>
      <c r="T20" s="271"/>
      <c r="U20" s="65"/>
      <c r="AG20" s="65"/>
      <c r="AH20" s="65"/>
    </row>
    <row r="21" spans="1:36" s="66" customFormat="1" ht="19.5" customHeight="1">
      <c r="A21" s="398"/>
      <c r="B21" s="421"/>
      <c r="C21" s="690"/>
      <c r="D21" s="690"/>
      <c r="E21" s="690"/>
      <c r="F21" s="690"/>
      <c r="G21" s="690"/>
      <c r="H21" s="690"/>
      <c r="I21" s="690"/>
      <c r="J21" s="690"/>
      <c r="K21" s="691"/>
      <c r="L21" s="691"/>
      <c r="M21" s="691"/>
      <c r="N21" s="692" t="str">
        <f>'Tables NEW TABLES'!H308</f>
        <v/>
      </c>
      <c r="O21" s="692"/>
      <c r="P21" s="692"/>
      <c r="Q21" s="687" t="str">
        <f>IF(N21="","",K21*N21)</f>
        <v/>
      </c>
      <c r="R21" s="687"/>
      <c r="S21" s="687"/>
      <c r="T21" s="271"/>
      <c r="U21" s="65"/>
      <c r="V21" s="620" t="s">
        <v>984</v>
      </c>
      <c r="W21" s="620"/>
      <c r="X21" s="620"/>
      <c r="Y21" s="620"/>
      <c r="Z21" s="620"/>
      <c r="AG21" s="65"/>
      <c r="AH21" s="65"/>
    </row>
    <row r="22" spans="1:36" s="66" customFormat="1" ht="19.5" customHeight="1">
      <c r="A22" s="398"/>
      <c r="B22" s="421"/>
      <c r="C22" s="690"/>
      <c r="D22" s="690"/>
      <c r="E22" s="690"/>
      <c r="F22" s="690"/>
      <c r="G22" s="690"/>
      <c r="H22" s="690"/>
      <c r="I22" s="690"/>
      <c r="J22" s="690"/>
      <c r="K22" s="691"/>
      <c r="L22" s="691"/>
      <c r="M22" s="691"/>
      <c r="N22" s="692" t="str">
        <f>'Tables NEW TABLES'!H309</f>
        <v/>
      </c>
      <c r="O22" s="692"/>
      <c r="P22" s="692"/>
      <c r="Q22" s="687" t="str">
        <f t="shared" ref="Q22:Q29" si="0">IF(N22="","",K22*N22)</f>
        <v/>
      </c>
      <c r="R22" s="687"/>
      <c r="S22" s="687"/>
      <c r="T22" s="271"/>
      <c r="U22" s="65"/>
      <c r="V22" s="620"/>
      <c r="W22" s="620"/>
      <c r="X22" s="620"/>
      <c r="Y22" s="620"/>
      <c r="Z22" s="620"/>
      <c r="AG22" s="194" t="str">
        <f>'Tables NEW TABLES'!I308</f>
        <v/>
      </c>
      <c r="AH22" s="195" t="str">
        <f t="shared" ref="AH22:AH30" si="1">IF($K21="","",$K21*AG22)</f>
        <v/>
      </c>
      <c r="AI22" s="194" t="str">
        <f>'Tables NEW TABLES'!J308</f>
        <v/>
      </c>
      <c r="AJ22" s="195" t="str">
        <f t="shared" ref="AJ22:AJ30" si="2">IF($K21="","",$K21*AI22)</f>
        <v/>
      </c>
    </row>
    <row r="23" spans="1:36" s="66" customFormat="1" ht="19.5" customHeight="1">
      <c r="A23" s="398"/>
      <c r="B23" s="421"/>
      <c r="C23" s="690"/>
      <c r="D23" s="690"/>
      <c r="E23" s="690"/>
      <c r="F23" s="690"/>
      <c r="G23" s="690"/>
      <c r="H23" s="690"/>
      <c r="I23" s="690"/>
      <c r="J23" s="690"/>
      <c r="K23" s="691"/>
      <c r="L23" s="691"/>
      <c r="M23" s="691"/>
      <c r="N23" s="692" t="str">
        <f>'Tables NEW TABLES'!H310</f>
        <v/>
      </c>
      <c r="O23" s="692"/>
      <c r="P23" s="692"/>
      <c r="Q23" s="687" t="str">
        <f t="shared" si="0"/>
        <v/>
      </c>
      <c r="R23" s="687"/>
      <c r="S23" s="687"/>
      <c r="T23" s="271"/>
      <c r="U23" s="65"/>
      <c r="V23" s="620"/>
      <c r="W23" s="620"/>
      <c r="X23" s="620"/>
      <c r="Y23" s="620"/>
      <c r="Z23" s="620"/>
      <c r="AG23" s="194" t="str">
        <f>'Tables NEW TABLES'!I309</f>
        <v/>
      </c>
      <c r="AH23" s="195" t="str">
        <f t="shared" si="1"/>
        <v/>
      </c>
      <c r="AI23" s="194" t="str">
        <f>'Tables NEW TABLES'!J309</f>
        <v/>
      </c>
      <c r="AJ23" s="195" t="str">
        <f t="shared" si="2"/>
        <v/>
      </c>
    </row>
    <row r="24" spans="1:36" s="66" customFormat="1" ht="19.5" customHeight="1">
      <c r="A24" s="398"/>
      <c r="B24" s="421"/>
      <c r="C24" s="690"/>
      <c r="D24" s="690"/>
      <c r="E24" s="690"/>
      <c r="F24" s="690"/>
      <c r="G24" s="690"/>
      <c r="H24" s="690"/>
      <c r="I24" s="690"/>
      <c r="J24" s="690"/>
      <c r="K24" s="691"/>
      <c r="L24" s="691"/>
      <c r="M24" s="691"/>
      <c r="N24" s="692" t="str">
        <f>'Tables NEW TABLES'!H311</f>
        <v/>
      </c>
      <c r="O24" s="692"/>
      <c r="P24" s="692"/>
      <c r="Q24" s="687" t="str">
        <f>IF(N24="","",K24*N24)</f>
        <v/>
      </c>
      <c r="R24" s="687"/>
      <c r="S24" s="687"/>
      <c r="T24" s="271"/>
      <c r="U24" s="65"/>
      <c r="V24" s="620"/>
      <c r="W24" s="620"/>
      <c r="X24" s="620"/>
      <c r="Y24" s="620"/>
      <c r="Z24" s="620"/>
      <c r="AG24" s="194" t="str">
        <f>'Tables NEW TABLES'!I310</f>
        <v/>
      </c>
      <c r="AH24" s="195" t="str">
        <f t="shared" si="1"/>
        <v/>
      </c>
      <c r="AI24" s="194" t="str">
        <f>'Tables NEW TABLES'!J310</f>
        <v/>
      </c>
      <c r="AJ24" s="195" t="str">
        <f t="shared" si="2"/>
        <v/>
      </c>
    </row>
    <row r="25" spans="1:36" s="66" customFormat="1" ht="19.5" customHeight="1">
      <c r="A25" s="398"/>
      <c r="B25" s="421"/>
      <c r="C25" s="690"/>
      <c r="D25" s="690"/>
      <c r="E25" s="690"/>
      <c r="F25" s="690"/>
      <c r="G25" s="690"/>
      <c r="H25" s="690"/>
      <c r="I25" s="690"/>
      <c r="J25" s="690"/>
      <c r="K25" s="691"/>
      <c r="L25" s="691"/>
      <c r="M25" s="691"/>
      <c r="N25" s="692" t="str">
        <f>'Tables NEW TABLES'!H312</f>
        <v/>
      </c>
      <c r="O25" s="692"/>
      <c r="P25" s="692"/>
      <c r="Q25" s="687" t="str">
        <f>IF(N25="","",K25*N25)</f>
        <v/>
      </c>
      <c r="R25" s="687"/>
      <c r="S25" s="687"/>
      <c r="T25" s="271"/>
      <c r="U25" s="65"/>
      <c r="V25" s="620"/>
      <c r="W25" s="620"/>
      <c r="X25" s="620"/>
      <c r="Y25" s="620"/>
      <c r="Z25" s="620"/>
      <c r="AG25" s="194" t="str">
        <f>'Tables NEW TABLES'!I311</f>
        <v/>
      </c>
      <c r="AH25" s="195" t="str">
        <f t="shared" si="1"/>
        <v/>
      </c>
      <c r="AI25" s="194" t="str">
        <f>'Tables NEW TABLES'!J311</f>
        <v/>
      </c>
      <c r="AJ25" s="195" t="str">
        <f t="shared" si="2"/>
        <v/>
      </c>
    </row>
    <row r="26" spans="1:36" s="66" customFormat="1" ht="19.5" customHeight="1">
      <c r="A26" s="398"/>
      <c r="B26" s="421"/>
      <c r="C26" s="690"/>
      <c r="D26" s="690"/>
      <c r="E26" s="690"/>
      <c r="F26" s="690"/>
      <c r="G26" s="690"/>
      <c r="H26" s="690"/>
      <c r="I26" s="690"/>
      <c r="J26" s="690"/>
      <c r="K26" s="691"/>
      <c r="L26" s="691"/>
      <c r="M26" s="691"/>
      <c r="N26" s="692" t="str">
        <f>'Tables NEW TABLES'!H313</f>
        <v/>
      </c>
      <c r="O26" s="692"/>
      <c r="P26" s="692"/>
      <c r="Q26" s="687" t="str">
        <f t="shared" si="0"/>
        <v/>
      </c>
      <c r="R26" s="687"/>
      <c r="S26" s="687"/>
      <c r="T26" s="271"/>
      <c r="U26" s="65"/>
      <c r="V26" s="620"/>
      <c r="W26" s="620"/>
      <c r="X26" s="620"/>
      <c r="Y26" s="620"/>
      <c r="Z26" s="620"/>
      <c r="AG26" s="194" t="str">
        <f>'Tables NEW TABLES'!I312</f>
        <v/>
      </c>
      <c r="AH26" s="195" t="str">
        <f t="shared" si="1"/>
        <v/>
      </c>
      <c r="AI26" s="194" t="str">
        <f>'Tables NEW TABLES'!J312</f>
        <v/>
      </c>
      <c r="AJ26" s="195" t="str">
        <f t="shared" si="2"/>
        <v/>
      </c>
    </row>
    <row r="27" spans="1:36" s="66" customFormat="1" ht="19.5" customHeight="1">
      <c r="A27" s="398"/>
      <c r="B27" s="421"/>
      <c r="C27" s="690"/>
      <c r="D27" s="690"/>
      <c r="E27" s="690"/>
      <c r="F27" s="690"/>
      <c r="G27" s="690"/>
      <c r="H27" s="690"/>
      <c r="I27" s="690"/>
      <c r="J27" s="690"/>
      <c r="K27" s="691"/>
      <c r="L27" s="691"/>
      <c r="M27" s="691"/>
      <c r="N27" s="692" t="str">
        <f>'Tables NEW TABLES'!H314</f>
        <v/>
      </c>
      <c r="O27" s="692"/>
      <c r="P27" s="692"/>
      <c r="Q27" s="687" t="str">
        <f t="shared" si="0"/>
        <v/>
      </c>
      <c r="R27" s="687"/>
      <c r="S27" s="687"/>
      <c r="T27" s="271"/>
      <c r="U27" s="65"/>
      <c r="V27" s="620"/>
      <c r="W27" s="620"/>
      <c r="X27" s="620"/>
      <c r="Y27" s="620"/>
      <c r="Z27" s="620"/>
      <c r="AG27" s="194" t="str">
        <f>'Tables NEW TABLES'!I313</f>
        <v/>
      </c>
      <c r="AH27" s="195" t="str">
        <f t="shared" si="1"/>
        <v/>
      </c>
      <c r="AI27" s="194" t="str">
        <f>'Tables NEW TABLES'!J313</f>
        <v/>
      </c>
      <c r="AJ27" s="195" t="str">
        <f t="shared" si="2"/>
        <v/>
      </c>
    </row>
    <row r="28" spans="1:36" s="66" customFormat="1" ht="19.5" customHeight="1">
      <c r="A28" s="398"/>
      <c r="B28" s="421"/>
      <c r="C28" s="690"/>
      <c r="D28" s="690"/>
      <c r="E28" s="690"/>
      <c r="F28" s="690"/>
      <c r="G28" s="690"/>
      <c r="H28" s="690"/>
      <c r="I28" s="690"/>
      <c r="J28" s="690"/>
      <c r="K28" s="691"/>
      <c r="L28" s="691"/>
      <c r="M28" s="691"/>
      <c r="N28" s="692" t="str">
        <f>'Tables NEW TABLES'!H315</f>
        <v/>
      </c>
      <c r="O28" s="692"/>
      <c r="P28" s="692"/>
      <c r="Q28" s="687" t="str">
        <f t="shared" si="0"/>
        <v/>
      </c>
      <c r="R28" s="687"/>
      <c r="S28" s="687"/>
      <c r="T28" s="271"/>
      <c r="U28" s="65"/>
      <c r="V28" s="620"/>
      <c r="W28" s="620"/>
      <c r="X28" s="620"/>
      <c r="Y28" s="620"/>
      <c r="Z28" s="620"/>
      <c r="AG28" s="194" t="str">
        <f>'Tables NEW TABLES'!I314</f>
        <v/>
      </c>
      <c r="AH28" s="195" t="str">
        <f t="shared" si="1"/>
        <v/>
      </c>
      <c r="AI28" s="194" t="str">
        <f>'Tables NEW TABLES'!J314</f>
        <v/>
      </c>
      <c r="AJ28" s="195" t="str">
        <f t="shared" si="2"/>
        <v/>
      </c>
    </row>
    <row r="29" spans="1:36" s="66" customFormat="1" ht="19.5" customHeight="1">
      <c r="A29" s="398"/>
      <c r="B29" s="421"/>
      <c r="C29" s="690"/>
      <c r="D29" s="690"/>
      <c r="E29" s="690"/>
      <c r="F29" s="690"/>
      <c r="G29" s="690"/>
      <c r="H29" s="690"/>
      <c r="I29" s="690"/>
      <c r="J29" s="690"/>
      <c r="K29" s="691"/>
      <c r="L29" s="691"/>
      <c r="M29" s="691"/>
      <c r="N29" s="692" t="str">
        <f>'Tables NEW TABLES'!H316</f>
        <v/>
      </c>
      <c r="O29" s="692"/>
      <c r="P29" s="692"/>
      <c r="Q29" s="687" t="str">
        <f t="shared" si="0"/>
        <v/>
      </c>
      <c r="R29" s="687"/>
      <c r="S29" s="687"/>
      <c r="T29" s="271"/>
      <c r="U29" s="65"/>
      <c r="V29" s="620"/>
      <c r="W29" s="620"/>
      <c r="X29" s="620"/>
      <c r="Y29" s="620"/>
      <c r="Z29" s="620"/>
      <c r="AG29" s="194" t="str">
        <f>'Tables NEW TABLES'!I315</f>
        <v/>
      </c>
      <c r="AH29" s="195" t="str">
        <f t="shared" si="1"/>
        <v/>
      </c>
      <c r="AI29" s="194" t="str">
        <f>'Tables NEW TABLES'!J315</f>
        <v/>
      </c>
      <c r="AJ29" s="195" t="str">
        <f t="shared" si="2"/>
        <v/>
      </c>
    </row>
    <row r="30" spans="1:36" s="66" customFormat="1" ht="19.5" customHeight="1">
      <c r="A30" s="398"/>
      <c r="B30" s="399"/>
      <c r="C30" s="399"/>
      <c r="D30" s="399"/>
      <c r="E30" s="399"/>
      <c r="F30" s="399"/>
      <c r="G30" s="399"/>
      <c r="H30" s="399"/>
      <c r="I30" s="399"/>
      <c r="J30" s="399"/>
      <c r="K30" s="399"/>
      <c r="L30" s="399"/>
      <c r="M30" s="399"/>
      <c r="N30" s="399"/>
      <c r="O30" s="399"/>
      <c r="P30" s="400" t="s">
        <v>527</v>
      </c>
      <c r="Q30" s="688">
        <f>SUM(Q21:S29)</f>
        <v>0</v>
      </c>
      <c r="R30" s="688"/>
      <c r="S30" s="688"/>
      <c r="T30" s="273" t="s">
        <v>528</v>
      </c>
      <c r="U30" s="65"/>
      <c r="AG30" s="194" t="str">
        <f>'Tables NEW TABLES'!I316</f>
        <v/>
      </c>
      <c r="AH30" s="195" t="str">
        <f t="shared" si="1"/>
        <v/>
      </c>
      <c r="AI30" s="194" t="str">
        <f>'Tables NEW TABLES'!J316</f>
        <v/>
      </c>
      <c r="AJ30" s="195" t="str">
        <f t="shared" si="2"/>
        <v/>
      </c>
    </row>
    <row r="31" spans="1:36" s="186" customFormat="1" ht="3.75" customHeight="1">
      <c r="A31" s="398"/>
      <c r="B31" s="399"/>
      <c r="C31" s="399"/>
      <c r="D31" s="399"/>
      <c r="E31" s="399"/>
      <c r="F31" s="399"/>
      <c r="G31" s="399"/>
      <c r="H31" s="399"/>
      <c r="I31" s="399"/>
      <c r="J31" s="399"/>
      <c r="K31" s="399"/>
      <c r="L31" s="399"/>
      <c r="M31" s="399"/>
      <c r="N31" s="399"/>
      <c r="O31" s="399"/>
      <c r="P31" s="399"/>
      <c r="Q31" s="422"/>
      <c r="R31" s="422"/>
      <c r="S31" s="422"/>
      <c r="T31" s="397"/>
      <c r="U31" s="185"/>
      <c r="V31" s="65"/>
      <c r="W31" s="65"/>
      <c r="X31" s="65"/>
      <c r="Y31" s="65"/>
      <c r="Z31" s="66"/>
      <c r="AG31" s="65"/>
      <c r="AH31" s="196">
        <f>SUM(AH22:AH30)</f>
        <v>0</v>
      </c>
      <c r="AI31" s="196"/>
      <c r="AJ31" s="196">
        <f>SUM(AJ22:AJ30)</f>
        <v>0</v>
      </c>
    </row>
    <row r="32" spans="1:36" s="66" customFormat="1" ht="19.5" customHeight="1">
      <c r="A32" s="402">
        <v>5</v>
      </c>
      <c r="B32" s="655" t="s">
        <v>529</v>
      </c>
      <c r="C32" s="655"/>
      <c r="D32" s="655"/>
      <c r="E32" s="655"/>
      <c r="F32" s="655"/>
      <c r="G32" s="655"/>
      <c r="H32" s="655"/>
      <c r="I32" s="655"/>
      <c r="J32" s="655"/>
      <c r="K32" s="405"/>
      <c r="L32" s="399"/>
      <c r="M32" s="399"/>
      <c r="N32" s="399"/>
      <c r="O32" s="399"/>
      <c r="P32" s="399"/>
      <c r="Q32" s="399"/>
      <c r="R32" s="399"/>
      <c r="S32" s="399"/>
      <c r="T32" s="271"/>
      <c r="U32" s="65"/>
      <c r="AG32" s="185"/>
      <c r="AH32" s="185"/>
      <c r="AI32" s="186"/>
      <c r="AJ32" s="186"/>
    </row>
    <row r="33" spans="1:36" s="66" customFormat="1" ht="19.5" customHeight="1">
      <c r="A33" s="398"/>
      <c r="B33" s="399"/>
      <c r="C33" s="399"/>
      <c r="D33" s="399"/>
      <c r="E33" s="399"/>
      <c r="F33" s="399"/>
      <c r="G33" s="400"/>
      <c r="H33" s="400"/>
      <c r="I33" s="400"/>
      <c r="J33" s="400" t="s">
        <v>267</v>
      </c>
      <c r="K33" s="689"/>
      <c r="L33" s="689"/>
      <c r="M33" s="689"/>
      <c r="N33" s="399" t="s">
        <v>495</v>
      </c>
      <c r="O33" s="403">
        <f>'Tables NEW TABLES'!K280-'Tables NEW TABLES'!K279</f>
        <v>-0.98064352657801512</v>
      </c>
      <c r="P33" s="400" t="s">
        <v>521</v>
      </c>
      <c r="Q33" s="687">
        <f>K33*O33</f>
        <v>0</v>
      </c>
      <c r="R33" s="687"/>
      <c r="S33" s="687"/>
      <c r="T33" s="273" t="s">
        <v>530</v>
      </c>
      <c r="U33" s="65"/>
      <c r="V33" s="620" t="s">
        <v>985</v>
      </c>
      <c r="W33" s="620"/>
      <c r="X33" s="620"/>
      <c r="Y33" s="620"/>
      <c r="Z33" s="620"/>
      <c r="AG33" s="65"/>
      <c r="AH33" s="65"/>
    </row>
    <row r="34" spans="1:36" s="186" customFormat="1" ht="3.75" customHeight="1">
      <c r="A34" s="398"/>
      <c r="B34" s="399"/>
      <c r="C34" s="399"/>
      <c r="D34" s="399"/>
      <c r="E34" s="399"/>
      <c r="F34" s="399"/>
      <c r="G34" s="400"/>
      <c r="H34" s="400"/>
      <c r="I34" s="400"/>
      <c r="J34" s="400"/>
      <c r="K34" s="400"/>
      <c r="L34" s="400"/>
      <c r="M34" s="400"/>
      <c r="N34" s="400"/>
      <c r="O34" s="400"/>
      <c r="P34" s="400"/>
      <c r="Q34" s="400"/>
      <c r="R34" s="400"/>
      <c r="S34" s="400"/>
      <c r="T34" s="397"/>
      <c r="U34" s="185"/>
      <c r="V34" s="185"/>
      <c r="W34" s="185"/>
      <c r="AG34" s="65">
        <v>19.21</v>
      </c>
      <c r="AH34" s="65">
        <f>$K33*AG34</f>
        <v>0</v>
      </c>
      <c r="AI34" s="66">
        <v>11.44</v>
      </c>
      <c r="AJ34" s="65">
        <f>$K33*AI34</f>
        <v>0</v>
      </c>
    </row>
    <row r="35" spans="1:36" s="66" customFormat="1" ht="19.5" customHeight="1">
      <c r="A35" s="402">
        <v>6</v>
      </c>
      <c r="B35" s="655" t="s">
        <v>531</v>
      </c>
      <c r="C35" s="655"/>
      <c r="D35" s="655"/>
      <c r="E35" s="655"/>
      <c r="F35" s="655"/>
      <c r="G35" s="399"/>
      <c r="H35" s="399"/>
      <c r="I35" s="399"/>
      <c r="J35" s="399"/>
      <c r="K35" s="399"/>
      <c r="L35" s="399"/>
      <c r="M35" s="399"/>
      <c r="N35" s="399"/>
      <c r="O35" s="399"/>
      <c r="P35" s="399"/>
      <c r="Q35" s="399"/>
      <c r="R35" s="399"/>
      <c r="S35" s="399"/>
      <c r="T35" s="271"/>
      <c r="U35" s="65"/>
      <c r="V35" s="65"/>
      <c r="W35" s="65"/>
      <c r="AG35" s="185"/>
      <c r="AH35" s="185"/>
      <c r="AI35" s="186"/>
      <c r="AJ35" s="186"/>
    </row>
    <row r="36" spans="1:36" s="66" customFormat="1" ht="19.5" customHeight="1">
      <c r="A36" s="398"/>
      <c r="B36" s="399"/>
      <c r="C36" s="399"/>
      <c r="D36" s="399"/>
      <c r="E36" s="399"/>
      <c r="F36" s="399"/>
      <c r="G36" s="399"/>
      <c r="H36" s="399"/>
      <c r="I36" s="399"/>
      <c r="J36" s="399"/>
      <c r="K36" s="405"/>
      <c r="L36" s="399"/>
      <c r="M36" s="399"/>
      <c r="N36" s="399"/>
      <c r="O36" s="399"/>
      <c r="P36" s="400" t="s">
        <v>532</v>
      </c>
      <c r="Q36" s="687">
        <f>Q8+Q11+Q15+Q30+Q33</f>
        <v>0</v>
      </c>
      <c r="R36" s="687"/>
      <c r="S36" s="687"/>
      <c r="T36" s="273" t="s">
        <v>438</v>
      </c>
      <c r="U36" s="65"/>
      <c r="V36" s="620" t="s">
        <v>533</v>
      </c>
      <c r="W36" s="620"/>
      <c r="X36" s="620"/>
      <c r="Y36" s="620"/>
      <c r="Z36" s="620"/>
      <c r="AG36" s="65"/>
      <c r="AH36" s="65"/>
    </row>
    <row r="37" spans="1:36" s="66" customFormat="1" ht="19.5" customHeight="1">
      <c r="A37" s="271"/>
      <c r="B37" s="274"/>
      <c r="C37" s="274"/>
      <c r="D37" s="274"/>
      <c r="E37" s="274"/>
      <c r="F37" s="274"/>
      <c r="G37" s="274"/>
      <c r="H37" s="274"/>
      <c r="I37" s="274"/>
      <c r="J37" s="274"/>
      <c r="K37" s="274"/>
      <c r="L37" s="274"/>
      <c r="M37" s="274"/>
      <c r="N37" s="274"/>
      <c r="O37" s="274"/>
      <c r="P37" s="274"/>
      <c r="Q37" s="274"/>
      <c r="R37" s="274"/>
      <c r="S37" s="324"/>
      <c r="T37" s="271"/>
      <c r="U37" s="65"/>
      <c r="V37" s="65"/>
      <c r="W37" s="65"/>
      <c r="X37" s="65"/>
      <c r="Y37" s="65"/>
      <c r="AG37" s="65"/>
      <c r="AH37" s="79">
        <f>AH9+AH12+AH16+AH31+AH34</f>
        <v>0</v>
      </c>
      <c r="AI37" s="79"/>
      <c r="AJ37" s="79">
        <f>AJ9+AJ12+AJ16+AJ31+AJ34</f>
        <v>0</v>
      </c>
    </row>
    <row r="38" spans="1:36" s="66" customFormat="1" ht="14.25" customHeight="1">
      <c r="A38" s="70"/>
      <c r="B38" s="65"/>
      <c r="C38" s="65"/>
      <c r="D38" s="65"/>
      <c r="E38" s="65"/>
      <c r="F38" s="65"/>
      <c r="G38" s="65"/>
      <c r="H38" s="65"/>
      <c r="I38" s="65"/>
      <c r="J38" s="65"/>
      <c r="K38" s="65"/>
      <c r="L38" s="65"/>
      <c r="M38" s="65"/>
      <c r="N38" s="65"/>
      <c r="O38" s="65"/>
      <c r="P38" s="65"/>
      <c r="Q38" s="65"/>
      <c r="R38" s="65"/>
      <c r="S38" s="65"/>
      <c r="T38" s="70"/>
      <c r="U38" s="65"/>
      <c r="V38" s="65"/>
      <c r="W38" s="65"/>
      <c r="X38" s="65"/>
      <c r="Y38" s="65"/>
    </row>
    <row r="39" spans="1:36" s="66" customFormat="1" ht="14.25" customHeight="1">
      <c r="A39" s="70"/>
      <c r="B39" s="65"/>
      <c r="C39" s="65"/>
      <c r="D39" s="65"/>
      <c r="E39" s="65"/>
      <c r="F39" s="65"/>
      <c r="G39" s="65"/>
      <c r="H39" s="65"/>
      <c r="I39" s="65"/>
      <c r="J39" s="65"/>
      <c r="K39" s="65"/>
      <c r="L39" s="65"/>
      <c r="M39" s="65"/>
      <c r="N39" s="65"/>
      <c r="O39" s="65"/>
      <c r="P39" s="65"/>
      <c r="Q39" s="65"/>
      <c r="R39" s="65"/>
      <c r="S39" s="65"/>
      <c r="T39" s="70"/>
      <c r="U39" s="65"/>
      <c r="V39" s="65"/>
      <c r="W39" s="65"/>
      <c r="X39" s="65"/>
      <c r="Y39" s="65"/>
    </row>
    <row r="40" spans="1:36" s="66" customFormat="1" ht="14.25" customHeight="1">
      <c r="A40" s="70"/>
      <c r="B40" s="65"/>
      <c r="C40" s="65"/>
      <c r="D40" s="65"/>
      <c r="E40" s="65"/>
      <c r="F40" s="65"/>
      <c r="G40" s="65"/>
      <c r="H40" s="65"/>
      <c r="I40" s="65"/>
      <c r="J40" s="65"/>
      <c r="K40" s="65"/>
      <c r="L40" s="65"/>
      <c r="M40" s="65"/>
      <c r="N40" s="65"/>
      <c r="O40" s="65"/>
      <c r="P40" s="65"/>
      <c r="Q40" s="65"/>
      <c r="R40" s="65"/>
      <c r="S40" s="65"/>
      <c r="T40" s="70"/>
      <c r="U40" s="65"/>
      <c r="V40" s="65"/>
      <c r="W40" s="65"/>
      <c r="X40" s="65"/>
      <c r="Y40" s="65"/>
    </row>
    <row r="41" spans="1:36" s="66" customFormat="1" ht="14.25" customHeight="1">
      <c r="A41" s="70"/>
      <c r="B41" s="65"/>
      <c r="C41" s="65"/>
      <c r="D41" s="76"/>
      <c r="E41" s="65"/>
      <c r="F41" s="65"/>
      <c r="G41" s="65"/>
      <c r="H41" s="65"/>
      <c r="I41" s="65"/>
      <c r="J41" s="65"/>
      <c r="K41" s="65"/>
      <c r="L41" s="65"/>
      <c r="M41" s="65"/>
      <c r="N41" s="65"/>
      <c r="O41" s="65"/>
      <c r="P41" s="197"/>
      <c r="Q41" s="65"/>
      <c r="R41" s="65"/>
      <c r="S41" s="65"/>
      <c r="T41" s="70"/>
      <c r="U41" s="65"/>
      <c r="V41" s="65"/>
      <c r="W41" s="65"/>
      <c r="X41" s="65"/>
      <c r="Y41" s="65"/>
    </row>
    <row r="42" spans="1:36" s="66" customFormat="1" ht="14.25" customHeight="1">
      <c r="A42" s="70"/>
      <c r="B42" s="65"/>
      <c r="C42" s="65"/>
      <c r="D42" s="76"/>
      <c r="E42" s="65"/>
      <c r="F42" s="65"/>
      <c r="G42" s="65"/>
      <c r="H42" s="65"/>
      <c r="I42" s="65"/>
      <c r="J42" s="65"/>
      <c r="K42" s="65"/>
      <c r="L42" s="65"/>
      <c r="M42" s="65"/>
      <c r="N42" s="65"/>
      <c r="O42" s="65"/>
      <c r="P42" s="197"/>
      <c r="Q42" s="65"/>
      <c r="R42" s="65"/>
      <c r="S42" s="65"/>
      <c r="T42" s="70"/>
      <c r="U42" s="65"/>
      <c r="V42" s="65"/>
      <c r="W42" s="65"/>
      <c r="X42" s="65"/>
      <c r="Y42" s="65"/>
    </row>
    <row r="43" spans="1:36" s="66" customFormat="1" ht="14.25" customHeight="1">
      <c r="A43" s="70"/>
      <c r="B43" s="65"/>
      <c r="C43" s="65"/>
      <c r="D43" s="76"/>
      <c r="E43" s="65"/>
      <c r="F43" s="65"/>
      <c r="G43" s="65"/>
      <c r="H43" s="65"/>
      <c r="I43" s="65"/>
      <c r="J43" s="65"/>
      <c r="K43" s="65"/>
      <c r="L43" s="65"/>
      <c r="M43" s="65"/>
      <c r="N43" s="65"/>
      <c r="O43" s="65"/>
      <c r="P43" s="197"/>
      <c r="Q43" s="65"/>
      <c r="R43" s="65"/>
      <c r="S43" s="65"/>
      <c r="T43" s="70"/>
      <c r="U43" s="65"/>
      <c r="V43" s="65"/>
      <c r="W43" s="65"/>
      <c r="X43" s="65"/>
      <c r="Y43" s="65"/>
    </row>
    <row r="44" spans="1:36" s="66" customFormat="1" ht="14.25" customHeight="1">
      <c r="A44" s="65"/>
      <c r="B44" s="65"/>
      <c r="C44" s="65"/>
      <c r="D44" s="65"/>
      <c r="E44" s="65"/>
      <c r="F44" s="65"/>
      <c r="G44" s="65"/>
      <c r="H44" s="65"/>
      <c r="I44" s="65"/>
      <c r="J44" s="65"/>
      <c r="K44" s="65"/>
      <c r="L44" s="65"/>
      <c r="M44" s="65"/>
      <c r="N44" s="65"/>
      <c r="O44" s="65"/>
      <c r="P44" s="65"/>
      <c r="Q44" s="65"/>
      <c r="R44" s="65"/>
      <c r="S44" s="65"/>
      <c r="T44" s="70"/>
      <c r="U44" s="65"/>
      <c r="V44" s="65"/>
      <c r="W44" s="65"/>
      <c r="X44" s="65"/>
      <c r="Y44" s="65"/>
    </row>
    <row r="45" spans="1:36" s="66" customFormat="1" ht="14.25" customHeight="1">
      <c r="A45" s="65"/>
      <c r="B45" s="65"/>
      <c r="C45" s="65"/>
      <c r="D45" s="65"/>
      <c r="E45" s="65"/>
      <c r="F45" s="65"/>
      <c r="G45" s="65"/>
      <c r="H45" s="65"/>
      <c r="I45" s="65"/>
      <c r="J45" s="65"/>
      <c r="K45" s="65"/>
      <c r="L45" s="65"/>
      <c r="M45" s="65"/>
      <c r="N45" s="65"/>
      <c r="O45" s="65"/>
      <c r="P45" s="65"/>
      <c r="Q45" s="65"/>
      <c r="R45" s="65"/>
      <c r="S45" s="65"/>
      <c r="T45" s="70"/>
      <c r="U45" s="65"/>
      <c r="V45" s="65"/>
      <c r="W45" s="65"/>
      <c r="X45" s="65"/>
      <c r="Y45" s="65"/>
    </row>
    <row r="46" spans="1:36" s="66" customFormat="1" ht="14.25" customHeight="1">
      <c r="A46" s="65"/>
      <c r="B46" s="65"/>
      <c r="C46" s="65"/>
      <c r="D46" s="65"/>
      <c r="E46" s="65"/>
      <c r="F46" s="65"/>
      <c r="G46" s="65"/>
      <c r="H46" s="65"/>
      <c r="I46" s="65"/>
      <c r="J46" s="65"/>
      <c r="K46" s="65"/>
      <c r="L46" s="65"/>
      <c r="M46" s="65"/>
      <c r="N46" s="65"/>
      <c r="O46" s="65"/>
      <c r="P46" s="65"/>
      <c r="Q46" s="198"/>
      <c r="R46" s="198"/>
      <c r="S46" s="198"/>
      <c r="T46" s="70"/>
      <c r="U46" s="65"/>
      <c r="V46" s="65"/>
      <c r="W46" s="65"/>
      <c r="X46" s="65"/>
      <c r="Y46" s="65"/>
    </row>
    <row r="47" spans="1:36" s="66" customFormat="1" ht="14.25" customHeight="1">
      <c r="A47" s="65"/>
      <c r="B47" s="65"/>
      <c r="C47" s="65"/>
      <c r="D47" s="65"/>
      <c r="E47" s="65"/>
      <c r="F47" s="65"/>
      <c r="G47" s="65"/>
      <c r="H47" s="65"/>
      <c r="I47" s="65"/>
      <c r="J47" s="65"/>
      <c r="K47" s="65"/>
      <c r="L47" s="65"/>
      <c r="M47" s="65"/>
      <c r="N47" s="65"/>
      <c r="O47" s="65"/>
      <c r="P47" s="65"/>
      <c r="Q47" s="198"/>
      <c r="R47" s="198"/>
      <c r="S47" s="198"/>
      <c r="T47" s="70"/>
      <c r="U47" s="65"/>
      <c r="V47" s="65"/>
      <c r="W47" s="65"/>
      <c r="X47" s="65"/>
      <c r="Y47" s="65"/>
    </row>
    <row r="48" spans="1:36" s="66" customFormat="1" ht="11.4">
      <c r="A48" s="65"/>
      <c r="B48" s="65"/>
      <c r="C48" s="65"/>
      <c r="D48" s="65"/>
      <c r="E48" s="65"/>
      <c r="F48" s="65"/>
      <c r="G48" s="65"/>
      <c r="H48" s="65"/>
      <c r="I48" s="65"/>
      <c r="J48" s="65"/>
      <c r="K48" s="65"/>
      <c r="L48" s="65"/>
      <c r="M48" s="65"/>
      <c r="N48" s="65"/>
      <c r="O48" s="65"/>
      <c r="P48" s="65"/>
      <c r="Q48" s="65"/>
      <c r="R48" s="65"/>
      <c r="S48" s="65"/>
      <c r="T48" s="70"/>
      <c r="U48" s="65"/>
      <c r="V48" s="65"/>
      <c r="W48" s="65"/>
      <c r="X48" s="65"/>
      <c r="Y48" s="65"/>
    </row>
    <row r="49" spans="1:25" s="74" customFormat="1" hidden="1">
      <c r="A49" s="65">
        <v>0</v>
      </c>
      <c r="B49" s="65"/>
      <c r="C49" s="65"/>
      <c r="D49" s="65"/>
      <c r="E49" s="65"/>
      <c r="F49" s="65"/>
      <c r="G49" s="65"/>
      <c r="H49" s="65"/>
      <c r="I49" s="65"/>
      <c r="J49" s="65"/>
      <c r="K49" s="65"/>
      <c r="L49" s="65"/>
      <c r="M49" s="65"/>
      <c r="N49" s="65"/>
      <c r="O49" s="65"/>
      <c r="P49" s="65"/>
      <c r="Q49" s="65"/>
      <c r="R49" s="65"/>
      <c r="S49" s="65"/>
      <c r="T49" s="70"/>
      <c r="U49" s="65"/>
      <c r="V49" s="65"/>
      <c r="W49" s="65"/>
      <c r="X49" s="65"/>
      <c r="Y49" s="65"/>
    </row>
    <row r="50" spans="1:25" s="74" customFormat="1" hidden="1">
      <c r="A50" s="65">
        <v>1</v>
      </c>
      <c r="B50" s="65"/>
      <c r="C50" s="65"/>
      <c r="D50" s="65"/>
      <c r="E50" s="65"/>
      <c r="F50" s="65"/>
      <c r="G50" s="65"/>
      <c r="H50" s="65"/>
      <c r="I50" s="65"/>
      <c r="J50" s="65"/>
      <c r="K50" s="65"/>
      <c r="L50" s="65"/>
      <c r="M50" s="65"/>
      <c r="N50" s="65"/>
      <c r="O50" s="65"/>
      <c r="P50" s="65"/>
      <c r="Q50" s="65"/>
      <c r="R50" s="65"/>
      <c r="S50" s="65"/>
      <c r="T50" s="70"/>
      <c r="U50" s="65"/>
      <c r="V50" s="65"/>
      <c r="W50" s="65"/>
      <c r="X50" s="65"/>
      <c r="Y50" s="65"/>
    </row>
    <row r="51" spans="1:25" s="74" customFormat="1" hidden="1">
      <c r="A51" s="65">
        <v>2</v>
      </c>
      <c r="B51" s="65"/>
      <c r="C51" s="65"/>
      <c r="D51" s="65"/>
      <c r="E51" s="65"/>
      <c r="F51" s="65"/>
      <c r="G51" s="65"/>
      <c r="H51" s="65"/>
      <c r="I51" s="65"/>
      <c r="J51" s="65"/>
      <c r="K51" s="65"/>
      <c r="L51" s="65"/>
      <c r="M51" s="65"/>
      <c r="N51" s="65"/>
      <c r="O51" s="65"/>
      <c r="P51" s="65"/>
      <c r="Q51" s="65"/>
      <c r="R51" s="65"/>
      <c r="S51" s="65"/>
      <c r="T51" s="70"/>
      <c r="U51" s="65"/>
      <c r="V51" s="65"/>
      <c r="W51" s="65"/>
      <c r="X51" s="65"/>
      <c r="Y51" s="65"/>
    </row>
    <row r="52" spans="1:25" s="74" customFormat="1" hidden="1">
      <c r="A52" s="65">
        <v>3</v>
      </c>
      <c r="B52" s="65"/>
      <c r="C52" s="65"/>
      <c r="D52" s="65"/>
      <c r="E52" s="65"/>
      <c r="F52" s="65"/>
      <c r="G52" s="65"/>
      <c r="H52" s="65"/>
      <c r="I52" s="65"/>
      <c r="J52" s="65"/>
      <c r="K52" s="65"/>
      <c r="L52" s="65"/>
      <c r="M52" s="65"/>
      <c r="N52" s="65"/>
      <c r="O52" s="65"/>
      <c r="P52" s="65"/>
      <c r="Q52" s="65"/>
      <c r="R52" s="65"/>
      <c r="S52" s="65"/>
      <c r="T52" s="70"/>
      <c r="U52" s="65"/>
      <c r="V52" s="65"/>
      <c r="W52" s="65"/>
      <c r="X52" s="65"/>
      <c r="Y52" s="65"/>
    </row>
    <row r="53" spans="1:25" s="74" customFormat="1" hidden="1">
      <c r="A53" s="65">
        <v>4</v>
      </c>
      <c r="B53" s="65"/>
      <c r="C53" s="65"/>
      <c r="D53" s="65"/>
      <c r="E53" s="65"/>
      <c r="F53" s="65"/>
      <c r="G53" s="65"/>
      <c r="H53" s="65"/>
      <c r="I53" s="65"/>
      <c r="J53" s="65"/>
      <c r="K53" s="65"/>
      <c r="L53" s="65"/>
      <c r="M53" s="65"/>
      <c r="N53" s="65"/>
      <c r="O53" s="65"/>
      <c r="P53" s="65"/>
      <c r="Q53" s="65"/>
      <c r="R53" s="65"/>
      <c r="S53" s="65"/>
      <c r="T53" s="70"/>
      <c r="U53" s="65"/>
      <c r="V53" s="65"/>
      <c r="W53" s="65"/>
      <c r="X53" s="65"/>
      <c r="Y53" s="65"/>
    </row>
    <row r="54" spans="1:25" s="74" customFormat="1" hidden="1">
      <c r="A54" s="65">
        <v>5</v>
      </c>
      <c r="B54" s="65"/>
      <c r="C54" s="65"/>
      <c r="D54" s="65"/>
      <c r="E54" s="65"/>
      <c r="F54" s="65"/>
      <c r="G54" s="65"/>
      <c r="H54" s="65"/>
      <c r="I54" s="65"/>
      <c r="J54" s="65"/>
      <c r="K54" s="65"/>
      <c r="L54" s="65"/>
      <c r="M54" s="65"/>
      <c r="N54" s="65"/>
      <c r="O54" s="65"/>
      <c r="P54" s="65"/>
      <c r="Q54" s="65"/>
      <c r="R54" s="65"/>
      <c r="S54" s="65"/>
      <c r="T54" s="70"/>
      <c r="U54" s="65"/>
      <c r="V54" s="65"/>
      <c r="W54" s="65"/>
      <c r="X54" s="65"/>
      <c r="Y54" s="65"/>
    </row>
    <row r="55" spans="1:25" s="74" customFormat="1" hidden="1">
      <c r="A55" s="65">
        <v>6</v>
      </c>
      <c r="B55" s="65"/>
      <c r="C55" s="65"/>
      <c r="D55" s="65"/>
      <c r="E55" s="65"/>
      <c r="F55" s="65"/>
      <c r="G55" s="65"/>
      <c r="H55" s="65"/>
      <c r="I55" s="65"/>
      <c r="J55" s="65"/>
      <c r="K55" s="65"/>
      <c r="L55" s="65"/>
      <c r="M55" s="65"/>
      <c r="N55" s="65"/>
      <c r="O55" s="65"/>
      <c r="P55" s="65"/>
      <c r="Q55" s="65"/>
      <c r="R55" s="65"/>
      <c r="S55" s="65"/>
      <c r="T55" s="70"/>
      <c r="U55" s="65"/>
      <c r="V55" s="65"/>
      <c r="W55" s="65"/>
      <c r="X55" s="65"/>
      <c r="Y55" s="65"/>
    </row>
    <row r="56" spans="1:25" s="74" customFormat="1" hidden="1">
      <c r="A56" s="65">
        <v>7</v>
      </c>
      <c r="B56" s="65"/>
      <c r="C56" s="65"/>
      <c r="D56" s="65"/>
      <c r="E56" s="65"/>
      <c r="F56" s="65"/>
      <c r="G56" s="65"/>
      <c r="H56" s="65"/>
      <c r="I56" s="65"/>
      <c r="J56" s="65"/>
      <c r="K56" s="65"/>
      <c r="L56" s="65"/>
      <c r="M56" s="65"/>
      <c r="N56" s="65"/>
      <c r="O56" s="65"/>
      <c r="P56" s="65"/>
      <c r="Q56" s="65"/>
      <c r="R56" s="65"/>
      <c r="S56" s="65"/>
      <c r="T56" s="70"/>
      <c r="U56" s="65"/>
      <c r="V56" s="65"/>
      <c r="W56" s="65"/>
      <c r="X56" s="65"/>
      <c r="Y56" s="65"/>
    </row>
    <row r="57" spans="1:25" s="74" customFormat="1" hidden="1">
      <c r="A57" s="65">
        <v>8</v>
      </c>
      <c r="B57" s="65"/>
      <c r="C57" s="65"/>
      <c r="D57" s="65"/>
      <c r="E57" s="65"/>
      <c r="F57" s="65"/>
      <c r="G57" s="65"/>
      <c r="H57" s="65"/>
      <c r="I57" s="65"/>
      <c r="J57" s="65"/>
      <c r="K57" s="65"/>
      <c r="L57" s="65"/>
      <c r="M57" s="65"/>
      <c r="N57" s="65"/>
      <c r="O57" s="65"/>
      <c r="P57" s="65"/>
      <c r="Q57" s="65"/>
      <c r="R57" s="65"/>
      <c r="S57" s="65"/>
      <c r="T57" s="70"/>
      <c r="U57" s="65"/>
      <c r="V57" s="65"/>
      <c r="W57" s="65"/>
      <c r="X57" s="65"/>
      <c r="Y57" s="65"/>
    </row>
    <row r="58" spans="1:25" s="74" customFormat="1" hidden="1">
      <c r="A58" s="65">
        <v>9</v>
      </c>
      <c r="B58" s="65"/>
      <c r="C58" s="65"/>
      <c r="D58" s="65"/>
      <c r="E58" s="65"/>
      <c r="F58" s="65"/>
      <c r="G58" s="65"/>
      <c r="H58" s="65"/>
      <c r="I58" s="65"/>
      <c r="J58" s="65"/>
      <c r="K58" s="65"/>
      <c r="L58" s="65"/>
      <c r="M58" s="65"/>
      <c r="N58" s="65"/>
      <c r="O58" s="65"/>
      <c r="P58" s="65"/>
      <c r="Q58" s="65"/>
      <c r="R58" s="65"/>
      <c r="S58" s="65"/>
      <c r="T58" s="70"/>
      <c r="U58" s="65"/>
      <c r="V58" s="65"/>
      <c r="W58" s="65"/>
      <c r="X58" s="65"/>
      <c r="Y58" s="65"/>
    </row>
    <row r="59" spans="1:25" s="74" customFormat="1" hidden="1">
      <c r="A59" s="65">
        <v>10</v>
      </c>
      <c r="B59" s="65"/>
      <c r="C59" s="65"/>
      <c r="D59" s="65"/>
      <c r="E59" s="65"/>
      <c r="F59" s="65"/>
      <c r="G59" s="65"/>
      <c r="H59" s="65"/>
      <c r="I59" s="65"/>
      <c r="J59" s="65"/>
      <c r="K59" s="65"/>
      <c r="L59" s="65"/>
      <c r="M59" s="65"/>
      <c r="N59" s="65"/>
      <c r="O59" s="65"/>
      <c r="P59" s="65"/>
      <c r="Q59" s="65"/>
      <c r="R59" s="65"/>
      <c r="S59" s="65"/>
      <c r="T59" s="70"/>
      <c r="U59" s="65"/>
      <c r="V59" s="65"/>
      <c r="W59" s="65"/>
      <c r="X59" s="65"/>
      <c r="Y59" s="65"/>
    </row>
    <row r="60" spans="1:25" s="74" customFormat="1" hidden="1">
      <c r="A60" s="65">
        <v>11</v>
      </c>
      <c r="B60" s="65"/>
      <c r="C60" s="65"/>
      <c r="D60" s="65"/>
      <c r="E60" s="65"/>
      <c r="F60" s="65"/>
      <c r="G60" s="65"/>
      <c r="H60" s="65"/>
      <c r="I60" s="65"/>
      <c r="J60" s="65"/>
      <c r="K60" s="65"/>
      <c r="L60" s="65"/>
      <c r="M60" s="65"/>
      <c r="N60" s="65"/>
      <c r="O60" s="65"/>
      <c r="P60" s="65"/>
      <c r="Q60" s="65"/>
      <c r="R60" s="65"/>
      <c r="S60" s="65"/>
      <c r="T60" s="70"/>
      <c r="U60" s="65"/>
      <c r="V60" s="65"/>
      <c r="W60" s="65"/>
      <c r="X60" s="65"/>
      <c r="Y60" s="65"/>
    </row>
    <row r="61" spans="1:25" s="74" customFormat="1" hidden="1">
      <c r="A61" s="65">
        <v>12</v>
      </c>
      <c r="B61" s="65"/>
      <c r="C61" s="65"/>
      <c r="D61" s="65"/>
      <c r="E61" s="65"/>
      <c r="F61" s="65"/>
      <c r="G61" s="65"/>
      <c r="H61" s="65"/>
      <c r="I61" s="65"/>
      <c r="J61" s="65"/>
      <c r="K61" s="65"/>
      <c r="L61" s="65"/>
      <c r="M61" s="65"/>
      <c r="N61" s="65"/>
      <c r="O61" s="65"/>
      <c r="P61" s="65"/>
      <c r="Q61" s="65"/>
      <c r="R61" s="65"/>
      <c r="S61" s="65"/>
      <c r="T61" s="70"/>
      <c r="U61" s="65"/>
      <c r="V61" s="65"/>
      <c r="W61" s="65"/>
      <c r="X61" s="65"/>
      <c r="Y61" s="65"/>
    </row>
    <row r="62" spans="1:25" s="74" customFormat="1" hidden="1">
      <c r="A62" s="65">
        <v>13</v>
      </c>
      <c r="B62" s="65"/>
      <c r="C62" s="65"/>
      <c r="D62" s="65"/>
      <c r="E62" s="65"/>
      <c r="F62" s="65"/>
      <c r="G62" s="65"/>
      <c r="H62" s="65"/>
      <c r="I62" s="65"/>
      <c r="J62" s="65"/>
      <c r="K62" s="65"/>
      <c r="L62" s="65"/>
      <c r="M62" s="65"/>
      <c r="N62" s="65"/>
      <c r="O62" s="65"/>
      <c r="P62" s="65"/>
      <c r="Q62" s="65"/>
      <c r="R62" s="65"/>
      <c r="S62" s="65"/>
      <c r="T62" s="70"/>
      <c r="U62" s="65"/>
      <c r="V62" s="65"/>
      <c r="W62" s="65"/>
      <c r="X62" s="65"/>
      <c r="Y62" s="65"/>
    </row>
    <row r="63" spans="1:25" s="74" customFormat="1" hidden="1">
      <c r="A63" s="65">
        <v>14</v>
      </c>
      <c r="B63" s="65"/>
      <c r="C63" s="65"/>
      <c r="D63" s="65"/>
      <c r="E63" s="65"/>
      <c r="F63" s="65"/>
      <c r="G63" s="65"/>
      <c r="H63" s="65"/>
      <c r="I63" s="65"/>
      <c r="J63" s="65"/>
      <c r="K63" s="65"/>
      <c r="L63" s="65"/>
      <c r="M63" s="65"/>
      <c r="N63" s="65"/>
      <c r="O63" s="65"/>
      <c r="P63" s="65"/>
      <c r="Q63" s="65"/>
      <c r="R63" s="65"/>
      <c r="S63" s="65"/>
      <c r="T63" s="70"/>
      <c r="U63" s="65"/>
      <c r="V63" s="65"/>
      <c r="W63" s="65"/>
      <c r="X63" s="65"/>
      <c r="Y63" s="65"/>
    </row>
    <row r="64" spans="1:25" s="74" customFormat="1" hidden="1">
      <c r="A64" s="65">
        <v>15</v>
      </c>
      <c r="B64" s="65"/>
      <c r="C64" s="65"/>
      <c r="D64" s="65"/>
      <c r="E64" s="65"/>
      <c r="F64" s="65"/>
      <c r="G64" s="65"/>
      <c r="H64" s="65"/>
      <c r="I64" s="65"/>
      <c r="J64" s="65"/>
      <c r="K64" s="65"/>
      <c r="L64" s="65"/>
      <c r="M64" s="65"/>
      <c r="N64" s="65"/>
      <c r="O64" s="65"/>
      <c r="P64" s="65"/>
      <c r="Q64" s="65"/>
      <c r="R64" s="65"/>
      <c r="S64" s="65"/>
      <c r="T64" s="70"/>
      <c r="U64" s="65"/>
      <c r="V64" s="65"/>
      <c r="W64" s="65"/>
      <c r="X64" s="65"/>
      <c r="Y64" s="65"/>
    </row>
    <row r="65" spans="1:25" s="74" customFormat="1" hidden="1">
      <c r="A65" s="65">
        <v>16</v>
      </c>
      <c r="B65" s="65"/>
      <c r="C65" s="65"/>
      <c r="D65" s="65"/>
      <c r="E65" s="65"/>
      <c r="F65" s="65"/>
      <c r="G65" s="65"/>
      <c r="H65" s="65"/>
      <c r="I65" s="65"/>
      <c r="J65" s="65"/>
      <c r="K65" s="65"/>
      <c r="L65" s="65"/>
      <c r="M65" s="65"/>
      <c r="N65" s="65"/>
      <c r="O65" s="65"/>
      <c r="P65" s="65"/>
      <c r="Q65" s="65"/>
      <c r="R65" s="65"/>
      <c r="S65" s="65"/>
      <c r="T65" s="70"/>
      <c r="U65" s="65"/>
      <c r="V65" s="65"/>
      <c r="W65" s="65"/>
      <c r="X65" s="65"/>
      <c r="Y65" s="65"/>
    </row>
    <row r="66" spans="1:25" s="74" customFormat="1" hidden="1">
      <c r="A66" s="65">
        <v>17</v>
      </c>
      <c r="B66" s="65"/>
      <c r="C66" s="65"/>
      <c r="D66" s="65"/>
      <c r="E66" s="65"/>
      <c r="F66" s="65"/>
      <c r="G66" s="65"/>
      <c r="H66" s="65"/>
      <c r="I66" s="65"/>
      <c r="J66" s="65"/>
      <c r="K66" s="65"/>
      <c r="L66" s="65"/>
      <c r="M66" s="65"/>
      <c r="N66" s="65"/>
      <c r="O66" s="65"/>
      <c r="P66" s="65"/>
      <c r="Q66" s="65"/>
      <c r="R66" s="65"/>
      <c r="S66" s="65"/>
      <c r="T66" s="70"/>
      <c r="U66" s="65"/>
      <c r="V66" s="65"/>
      <c r="W66" s="65"/>
      <c r="X66" s="65"/>
      <c r="Y66" s="65"/>
    </row>
    <row r="67" spans="1:25" s="74" customFormat="1" hidden="1">
      <c r="A67" s="65">
        <v>18</v>
      </c>
      <c r="B67" s="65"/>
      <c r="C67" s="65"/>
      <c r="D67" s="65"/>
      <c r="E67" s="65"/>
      <c r="F67" s="65"/>
      <c r="G67" s="65"/>
      <c r="H67" s="65"/>
      <c r="I67" s="65"/>
      <c r="J67" s="65"/>
      <c r="K67" s="65"/>
      <c r="L67" s="65"/>
      <c r="M67" s="65"/>
      <c r="N67" s="65"/>
      <c r="O67" s="65"/>
      <c r="P67" s="65"/>
      <c r="Q67" s="65"/>
      <c r="R67" s="65"/>
      <c r="S67" s="65"/>
      <c r="T67" s="70"/>
      <c r="U67" s="65"/>
      <c r="V67" s="65"/>
      <c r="W67" s="65"/>
      <c r="X67" s="65"/>
      <c r="Y67" s="65"/>
    </row>
    <row r="68" spans="1:25" s="74" customFormat="1" hidden="1">
      <c r="A68" s="65">
        <v>19</v>
      </c>
      <c r="B68" s="65"/>
      <c r="C68" s="65"/>
      <c r="D68" s="65"/>
      <c r="E68" s="65"/>
      <c r="F68" s="65"/>
      <c r="G68" s="65"/>
      <c r="H68" s="65"/>
      <c r="I68" s="65"/>
      <c r="J68" s="65"/>
      <c r="K68" s="65"/>
      <c r="L68" s="65"/>
      <c r="M68" s="65"/>
      <c r="N68" s="65"/>
      <c r="O68" s="65"/>
      <c r="P68" s="65"/>
      <c r="Q68" s="65"/>
      <c r="R68" s="65"/>
      <c r="S68" s="65"/>
      <c r="T68" s="70"/>
      <c r="U68" s="65"/>
      <c r="V68" s="65"/>
      <c r="W68" s="65"/>
      <c r="X68" s="65"/>
      <c r="Y68" s="65"/>
    </row>
    <row r="69" spans="1:25" s="74" customFormat="1" hidden="1">
      <c r="A69" s="65">
        <v>20</v>
      </c>
      <c r="B69" s="65"/>
      <c r="C69" s="65"/>
      <c r="D69" s="65"/>
      <c r="E69" s="65"/>
      <c r="F69" s="65"/>
      <c r="G69" s="65"/>
      <c r="H69" s="65"/>
      <c r="I69" s="65"/>
      <c r="J69" s="65"/>
      <c r="K69" s="65"/>
      <c r="L69" s="65"/>
      <c r="M69" s="65"/>
      <c r="N69" s="65"/>
      <c r="O69" s="65"/>
      <c r="P69" s="65"/>
      <c r="Q69" s="65"/>
      <c r="R69" s="65"/>
      <c r="S69" s="65"/>
      <c r="T69" s="70"/>
      <c r="U69" s="65"/>
      <c r="V69" s="65"/>
      <c r="W69" s="65"/>
      <c r="X69" s="65"/>
      <c r="Y69" s="65"/>
    </row>
    <row r="70" spans="1:25" s="74" customFormat="1" hidden="1">
      <c r="A70" s="65">
        <v>21</v>
      </c>
      <c r="B70" s="65"/>
      <c r="C70" s="65"/>
      <c r="D70" s="65"/>
      <c r="E70" s="65"/>
      <c r="F70" s="65"/>
      <c r="G70" s="65"/>
      <c r="H70" s="65"/>
      <c r="I70" s="65"/>
      <c r="J70" s="65"/>
      <c r="K70" s="65"/>
      <c r="L70" s="65"/>
      <c r="M70" s="65"/>
      <c r="N70" s="65"/>
      <c r="O70" s="65"/>
      <c r="P70" s="65"/>
      <c r="Q70" s="65"/>
      <c r="R70" s="65"/>
      <c r="S70" s="65"/>
      <c r="T70" s="70"/>
      <c r="U70" s="65"/>
      <c r="V70" s="65"/>
      <c r="W70" s="65"/>
      <c r="X70" s="65"/>
      <c r="Y70" s="65"/>
    </row>
    <row r="71" spans="1:25" s="74" customFormat="1" hidden="1">
      <c r="A71" s="65">
        <v>22</v>
      </c>
      <c r="B71" s="65"/>
      <c r="C71" s="65"/>
      <c r="D71" s="65"/>
      <c r="E71" s="65"/>
      <c r="F71" s="65"/>
      <c r="G71" s="65"/>
      <c r="H71" s="65"/>
      <c r="I71" s="65"/>
      <c r="J71" s="65"/>
      <c r="K71" s="65"/>
      <c r="L71" s="65"/>
      <c r="M71" s="65"/>
      <c r="N71" s="65"/>
      <c r="O71" s="65"/>
      <c r="P71" s="65"/>
      <c r="Q71" s="65"/>
      <c r="R71" s="65"/>
      <c r="S71" s="65"/>
      <c r="T71" s="70"/>
      <c r="U71" s="65"/>
      <c r="V71" s="65"/>
      <c r="W71" s="65"/>
      <c r="X71" s="65"/>
      <c r="Y71" s="65"/>
    </row>
    <row r="72" spans="1:25" hidden="1">
      <c r="A72" s="65">
        <v>23</v>
      </c>
      <c r="B72" s="63"/>
      <c r="C72" s="63"/>
      <c r="D72" s="63"/>
      <c r="E72" s="63"/>
      <c r="F72" s="63"/>
      <c r="G72" s="63"/>
      <c r="H72" s="63"/>
      <c r="I72" s="63"/>
      <c r="J72" s="63"/>
      <c r="K72" s="63"/>
      <c r="L72" s="63"/>
      <c r="M72" s="63"/>
      <c r="N72" s="63"/>
      <c r="O72" s="63"/>
      <c r="P72" s="63"/>
      <c r="Q72" s="63"/>
      <c r="R72" s="63"/>
      <c r="S72" s="63"/>
      <c r="T72" s="64"/>
      <c r="U72" s="63"/>
      <c r="V72" s="63"/>
      <c r="W72" s="63"/>
      <c r="X72" s="63"/>
      <c r="Y72" s="63"/>
    </row>
    <row r="73" spans="1:25" hidden="1">
      <c r="A73" s="65">
        <v>24</v>
      </c>
      <c r="B73" s="63"/>
      <c r="C73" s="63"/>
      <c r="D73" s="63"/>
      <c r="E73" s="63"/>
      <c r="F73" s="63"/>
      <c r="G73" s="63"/>
      <c r="H73" s="63"/>
      <c r="I73" s="63"/>
      <c r="J73" s="63"/>
      <c r="K73" s="63"/>
      <c r="L73" s="63"/>
      <c r="M73" s="63"/>
      <c r="N73" s="63"/>
      <c r="O73" s="63"/>
      <c r="P73" s="63"/>
      <c r="Q73" s="63"/>
      <c r="R73" s="63"/>
      <c r="S73" s="63"/>
      <c r="T73" s="64"/>
      <c r="U73" s="63"/>
      <c r="V73" s="63"/>
      <c r="W73" s="63"/>
      <c r="X73" s="63"/>
      <c r="Y73" s="63"/>
    </row>
    <row r="74" spans="1:25" hidden="1">
      <c r="A74" s="65">
        <v>25</v>
      </c>
      <c r="B74" s="63"/>
      <c r="C74" s="63"/>
      <c r="D74" s="63"/>
      <c r="E74" s="63"/>
      <c r="F74" s="63"/>
      <c r="G74" s="63"/>
      <c r="H74" s="63"/>
      <c r="I74" s="63"/>
      <c r="J74" s="63"/>
      <c r="K74" s="63"/>
      <c r="L74" s="63"/>
      <c r="M74" s="63"/>
      <c r="N74" s="63"/>
      <c r="O74" s="63"/>
      <c r="P74" s="63"/>
      <c r="Q74" s="63"/>
      <c r="R74" s="63"/>
      <c r="S74" s="63"/>
      <c r="T74" s="64"/>
      <c r="U74" s="63"/>
      <c r="V74" s="63"/>
      <c r="W74" s="63"/>
      <c r="X74" s="63"/>
      <c r="Y74" s="63"/>
    </row>
    <row r="75" spans="1:25" hidden="1">
      <c r="A75" s="65">
        <v>26</v>
      </c>
      <c r="B75" s="63"/>
      <c r="C75" s="63"/>
      <c r="D75" s="63"/>
      <c r="E75" s="63"/>
      <c r="F75" s="63"/>
      <c r="G75" s="63"/>
      <c r="H75" s="63"/>
      <c r="I75" s="63"/>
      <c r="J75" s="63"/>
      <c r="K75" s="63"/>
      <c r="L75" s="63"/>
      <c r="M75" s="63"/>
      <c r="N75" s="63"/>
      <c r="O75" s="63"/>
      <c r="P75" s="63"/>
      <c r="Q75" s="63"/>
      <c r="R75" s="63"/>
      <c r="S75" s="63"/>
      <c r="T75" s="64"/>
      <c r="U75" s="63"/>
      <c r="V75" s="63"/>
      <c r="W75" s="63"/>
      <c r="X75" s="63"/>
      <c r="Y75" s="63"/>
    </row>
    <row r="76" spans="1:25" hidden="1">
      <c r="A76" s="65">
        <v>27</v>
      </c>
      <c r="B76" s="63"/>
      <c r="C76" s="63"/>
      <c r="D76" s="63"/>
      <c r="E76" s="63"/>
      <c r="F76" s="63"/>
      <c r="G76" s="63"/>
      <c r="H76" s="63"/>
      <c r="I76" s="63"/>
      <c r="J76" s="63"/>
      <c r="K76" s="63"/>
      <c r="L76" s="63"/>
      <c r="M76" s="63"/>
      <c r="N76" s="63"/>
      <c r="O76" s="63"/>
      <c r="P76" s="63"/>
      <c r="Q76" s="63"/>
      <c r="R76" s="63"/>
      <c r="S76" s="63"/>
      <c r="T76" s="64"/>
      <c r="U76" s="63"/>
      <c r="V76" s="63"/>
      <c r="W76" s="63"/>
      <c r="X76" s="63"/>
      <c r="Y76" s="63"/>
    </row>
    <row r="77" spans="1:25" hidden="1">
      <c r="A77" s="65">
        <v>28</v>
      </c>
      <c r="B77" s="63"/>
      <c r="C77" s="63"/>
      <c r="D77" s="63"/>
      <c r="E77" s="63"/>
      <c r="F77" s="63"/>
      <c r="G77" s="63"/>
      <c r="H77" s="63"/>
      <c r="I77" s="63"/>
      <c r="J77" s="63"/>
      <c r="K77" s="63"/>
      <c r="L77" s="63"/>
      <c r="M77" s="63"/>
      <c r="N77" s="63"/>
      <c r="O77" s="63"/>
      <c r="P77" s="63"/>
      <c r="Q77" s="63"/>
      <c r="R77" s="63"/>
      <c r="S77" s="63"/>
      <c r="T77" s="64"/>
      <c r="U77" s="63"/>
      <c r="V77" s="63"/>
      <c r="W77" s="63"/>
      <c r="X77" s="63"/>
      <c r="Y77" s="63"/>
    </row>
    <row r="78" spans="1:25" hidden="1">
      <c r="A78" s="65">
        <v>29</v>
      </c>
      <c r="B78" s="63"/>
      <c r="C78" s="63"/>
      <c r="D78" s="63"/>
      <c r="E78" s="63"/>
      <c r="F78" s="63"/>
      <c r="G78" s="63"/>
      <c r="H78" s="63"/>
      <c r="I78" s="63"/>
      <c r="J78" s="63"/>
      <c r="K78" s="63"/>
      <c r="L78" s="63"/>
      <c r="M78" s="63"/>
      <c r="N78" s="63"/>
      <c r="O78" s="63"/>
      <c r="P78" s="63"/>
      <c r="Q78" s="63"/>
      <c r="R78" s="63"/>
      <c r="S78" s="63"/>
      <c r="T78" s="64"/>
      <c r="U78" s="63"/>
      <c r="V78" s="63"/>
      <c r="W78" s="63"/>
      <c r="X78" s="63"/>
      <c r="Y78" s="63"/>
    </row>
    <row r="79" spans="1:25" hidden="1">
      <c r="A79" s="65">
        <v>30</v>
      </c>
      <c r="B79" s="63"/>
      <c r="C79" s="63"/>
      <c r="D79" s="63"/>
      <c r="E79" s="63"/>
      <c r="F79" s="63"/>
      <c r="G79" s="63"/>
      <c r="H79" s="63"/>
      <c r="I79" s="63"/>
      <c r="J79" s="63"/>
      <c r="K79" s="63"/>
      <c r="L79" s="63"/>
      <c r="M79" s="63"/>
      <c r="N79" s="63"/>
      <c r="O79" s="63"/>
      <c r="P79" s="63"/>
      <c r="Q79" s="63"/>
      <c r="R79" s="63"/>
      <c r="S79" s="63"/>
      <c r="T79" s="64"/>
      <c r="U79" s="63"/>
      <c r="V79" s="63"/>
      <c r="W79" s="63"/>
      <c r="X79" s="63"/>
      <c r="Y79" s="63"/>
    </row>
    <row r="80" spans="1:25" hidden="1">
      <c r="A80" s="65">
        <v>31</v>
      </c>
      <c r="B80" s="63"/>
      <c r="C80" s="63"/>
      <c r="D80" s="63"/>
      <c r="E80" s="63"/>
      <c r="F80" s="63"/>
      <c r="G80" s="63"/>
      <c r="H80" s="63"/>
      <c r="I80" s="63"/>
      <c r="J80" s="63"/>
      <c r="K80" s="63"/>
      <c r="L80" s="63"/>
      <c r="M80" s="63"/>
      <c r="N80" s="63"/>
      <c r="O80" s="63"/>
      <c r="P80" s="63"/>
      <c r="Q80" s="63"/>
      <c r="R80" s="63"/>
      <c r="S80" s="63"/>
      <c r="T80" s="64"/>
      <c r="U80" s="63"/>
      <c r="V80" s="63"/>
      <c r="W80" s="63"/>
      <c r="X80" s="63"/>
      <c r="Y80" s="63"/>
    </row>
    <row r="81" spans="1:25" hidden="1">
      <c r="A81" s="65">
        <v>32</v>
      </c>
      <c r="B81" s="63"/>
      <c r="C81" s="63"/>
      <c r="D81" s="63"/>
      <c r="E81" s="63"/>
      <c r="F81" s="63"/>
      <c r="G81" s="63"/>
      <c r="H81" s="63"/>
      <c r="I81" s="63"/>
      <c r="J81" s="63"/>
      <c r="K81" s="63"/>
      <c r="L81" s="63"/>
      <c r="M81" s="63"/>
      <c r="N81" s="63"/>
      <c r="O81" s="63"/>
      <c r="P81" s="63"/>
      <c r="Q81" s="63"/>
      <c r="R81" s="63"/>
      <c r="S81" s="63"/>
      <c r="T81" s="64"/>
      <c r="U81" s="63"/>
      <c r="V81" s="63"/>
      <c r="W81" s="63"/>
      <c r="X81" s="63"/>
      <c r="Y81" s="63"/>
    </row>
    <row r="82" spans="1:25" hidden="1">
      <c r="A82" s="65">
        <v>33</v>
      </c>
      <c r="B82" s="63"/>
      <c r="C82" s="63"/>
      <c r="D82" s="63"/>
      <c r="E82" s="63"/>
      <c r="F82" s="63"/>
      <c r="G82" s="63"/>
      <c r="H82" s="63"/>
      <c r="I82" s="63"/>
      <c r="J82" s="63"/>
      <c r="K82" s="63"/>
      <c r="L82" s="63"/>
      <c r="M82" s="63"/>
      <c r="N82" s="63"/>
      <c r="O82" s="63"/>
      <c r="P82" s="63"/>
      <c r="Q82" s="63"/>
      <c r="R82" s="63"/>
      <c r="S82" s="63"/>
      <c r="T82" s="64"/>
      <c r="U82" s="63"/>
      <c r="V82" s="63"/>
      <c r="W82" s="63"/>
      <c r="X82" s="63"/>
      <c r="Y82" s="63"/>
    </row>
    <row r="83" spans="1:25" hidden="1">
      <c r="A83" s="65">
        <v>34</v>
      </c>
      <c r="B83" s="63"/>
      <c r="C83" s="63"/>
      <c r="D83" s="63"/>
      <c r="E83" s="63"/>
      <c r="F83" s="63"/>
      <c r="G83" s="63"/>
      <c r="H83" s="63"/>
      <c r="I83" s="63"/>
      <c r="J83" s="63"/>
      <c r="K83" s="63"/>
      <c r="L83" s="63"/>
      <c r="M83" s="63"/>
      <c r="N83" s="63"/>
      <c r="O83" s="63"/>
      <c r="P83" s="63"/>
      <c r="Q83" s="63"/>
      <c r="R83" s="63"/>
      <c r="S83" s="63"/>
      <c r="T83" s="64"/>
      <c r="U83" s="63"/>
      <c r="V83" s="63"/>
      <c r="W83" s="63"/>
      <c r="X83" s="63"/>
      <c r="Y83" s="63"/>
    </row>
    <row r="84" spans="1:25" hidden="1">
      <c r="A84" s="65">
        <v>35</v>
      </c>
      <c r="B84" s="63"/>
      <c r="C84" s="63"/>
      <c r="D84" s="63"/>
      <c r="E84" s="63"/>
      <c r="F84" s="63"/>
      <c r="G84" s="63"/>
      <c r="H84" s="63"/>
      <c r="I84" s="63"/>
      <c r="J84" s="63"/>
      <c r="K84" s="63"/>
      <c r="L84" s="63"/>
      <c r="M84" s="63"/>
      <c r="N84" s="63"/>
      <c r="O84" s="63"/>
      <c r="P84" s="63"/>
      <c r="Q84" s="63"/>
      <c r="R84" s="63"/>
      <c r="S84" s="63"/>
      <c r="T84" s="64"/>
      <c r="U84" s="63"/>
      <c r="V84" s="63"/>
      <c r="W84" s="63"/>
      <c r="X84" s="63"/>
      <c r="Y84" s="63"/>
    </row>
    <row r="85" spans="1:25" hidden="1">
      <c r="A85" s="65">
        <v>36</v>
      </c>
    </row>
    <row r="86" spans="1:25" hidden="1">
      <c r="A86" s="65">
        <v>37</v>
      </c>
    </row>
    <row r="87" spans="1:25" hidden="1">
      <c r="A87" s="65">
        <v>38</v>
      </c>
    </row>
    <row r="88" spans="1:25" hidden="1">
      <c r="A88" s="65">
        <v>39</v>
      </c>
    </row>
    <row r="89" spans="1:25" hidden="1">
      <c r="A89" s="65">
        <v>40</v>
      </c>
    </row>
  </sheetData>
  <sheetProtection algorithmName="SHA-512" hashValue="SahAjsGEcL7Z+wh5cYE+uPgiI7DXUhs11Mho6FFalVyh4i4pC7Z5LJ/gOwgxhvaCs3D9BSU6MmBk8va2ARPkMw==" saltValue="VObcEeozxJJQWC2r56DHZw==" spinCount="100000" sheet="1" selectLockedCells="1"/>
  <protectedRanges>
    <protectedRange sqref="E41:F43" name="Range15"/>
    <protectedRange sqref="N41:O43" name="Range14"/>
    <protectedRange sqref="G8:M8 Q8 T33 T30 R7:T8 E7:M7 N7:N8 O7:Q7 C7:D8 T11 T14:T15" name="Range1_1"/>
    <protectedRange sqref="T22:T25" name="Range3_1"/>
    <protectedRange sqref="F30:O30 T27:T29" name="Range5_1"/>
    <protectedRange sqref="K37" name="Range8"/>
    <protectedRange sqref="K38" name="Range9_1"/>
    <protectedRange sqref="E40:I40" name="Range10_1"/>
    <protectedRange sqref="R40:S40" name="Range11_1"/>
    <protectedRange sqref="P30" name="Range5_4"/>
    <protectedRange sqref="Q21:S29" name="Range5_1_1"/>
    <protectedRange sqref="N21:P29" name="Range5_2"/>
    <protectedRange sqref="P33 P15" name="Range1_1_1"/>
    <protectedRange sqref="P8" name="Range1_2"/>
    <protectedRange sqref="AH22:AH30 AJ22:AJ30" name="Range5_1_1_1"/>
  </protectedRanges>
  <mergeCells count="61">
    <mergeCell ref="B14:K14"/>
    <mergeCell ref="K15:M15"/>
    <mergeCell ref="Q15:S15"/>
    <mergeCell ref="B4:T4"/>
    <mergeCell ref="B7:N7"/>
    <mergeCell ref="K8:M8"/>
    <mergeCell ref="Q8:S8"/>
    <mergeCell ref="B11:G11"/>
    <mergeCell ref="Q11:S11"/>
    <mergeCell ref="V15:Z15"/>
    <mergeCell ref="B17:H17"/>
    <mergeCell ref="C20:J20"/>
    <mergeCell ref="K20:M20"/>
    <mergeCell ref="N20:P20"/>
    <mergeCell ref="Q20:S20"/>
    <mergeCell ref="Q18:S18"/>
    <mergeCell ref="C21:J21"/>
    <mergeCell ref="K21:M21"/>
    <mergeCell ref="N21:P21"/>
    <mergeCell ref="Q21:S21"/>
    <mergeCell ref="V21:Z29"/>
    <mergeCell ref="C22:J22"/>
    <mergeCell ref="K22:M22"/>
    <mergeCell ref="N22:P22"/>
    <mergeCell ref="Q22:S22"/>
    <mergeCell ref="C23:J23"/>
    <mergeCell ref="K23:M23"/>
    <mergeCell ref="N23:P23"/>
    <mergeCell ref="Q23:S23"/>
    <mergeCell ref="C24:J24"/>
    <mergeCell ref="K24:M24"/>
    <mergeCell ref="N24:P24"/>
    <mergeCell ref="Q24:S24"/>
    <mergeCell ref="C25:J25"/>
    <mergeCell ref="K25:M25"/>
    <mergeCell ref="N25:P25"/>
    <mergeCell ref="Q25:S25"/>
    <mergeCell ref="C26:J26"/>
    <mergeCell ref="K26:M26"/>
    <mergeCell ref="N26:P26"/>
    <mergeCell ref="Q26:S26"/>
    <mergeCell ref="C27:J27"/>
    <mergeCell ref="K27:M27"/>
    <mergeCell ref="N27:P27"/>
    <mergeCell ref="Q27:S27"/>
    <mergeCell ref="C28:J28"/>
    <mergeCell ref="K28:M28"/>
    <mergeCell ref="N28:P28"/>
    <mergeCell ref="Q28:S28"/>
    <mergeCell ref="C29:J29"/>
    <mergeCell ref="K29:M29"/>
    <mergeCell ref="N29:P29"/>
    <mergeCell ref="Q29:S29"/>
    <mergeCell ref="Q36:S36"/>
    <mergeCell ref="V36:Z36"/>
    <mergeCell ref="Q30:S30"/>
    <mergeCell ref="B32:J32"/>
    <mergeCell ref="K33:M33"/>
    <mergeCell ref="Q33:S33"/>
    <mergeCell ref="V33:Z33"/>
    <mergeCell ref="B35:F35"/>
  </mergeCells>
  <dataValidations count="1">
    <dataValidation type="list" allowBlank="1" showErrorMessage="1" sqref="B21:B29 IX21:IX29 ST21:ST29 ACP21:ACP29 AML21:AML29 AWH21:AWH29 BGD21:BGD29 BPZ21:BPZ29 BZV21:BZV29 CJR21:CJR29 CTN21:CTN29 DDJ21:DDJ29 DNF21:DNF29 DXB21:DXB29 EGX21:EGX29 EQT21:EQT29 FAP21:FAP29 FKL21:FKL29 FUH21:FUH29 GED21:GED29 GNZ21:GNZ29 GXV21:GXV29 HHR21:HHR29 HRN21:HRN29 IBJ21:IBJ29 ILF21:ILF29 IVB21:IVB29 JEX21:JEX29 JOT21:JOT29 JYP21:JYP29 KIL21:KIL29 KSH21:KSH29 LCD21:LCD29 LLZ21:LLZ29 LVV21:LVV29 MFR21:MFR29 MPN21:MPN29 MZJ21:MZJ29 NJF21:NJF29 NTB21:NTB29 OCX21:OCX29 OMT21:OMT29 OWP21:OWP29 PGL21:PGL29 PQH21:PQH29 QAD21:QAD29 QJZ21:QJZ29 QTV21:QTV29 RDR21:RDR29 RNN21:RNN29 RXJ21:RXJ29 SHF21:SHF29 SRB21:SRB29 TAX21:TAX29 TKT21:TKT29 TUP21:TUP29 UEL21:UEL29 UOH21:UOH29 UYD21:UYD29 VHZ21:VHZ29 VRV21:VRV29 WBR21:WBR29 WLN21:WLN29 WVJ21:WVJ29 B65557:B65565 IX65557:IX65565 ST65557:ST65565 ACP65557:ACP65565 AML65557:AML65565 AWH65557:AWH65565 BGD65557:BGD65565 BPZ65557:BPZ65565 BZV65557:BZV65565 CJR65557:CJR65565 CTN65557:CTN65565 DDJ65557:DDJ65565 DNF65557:DNF65565 DXB65557:DXB65565 EGX65557:EGX65565 EQT65557:EQT65565 FAP65557:FAP65565 FKL65557:FKL65565 FUH65557:FUH65565 GED65557:GED65565 GNZ65557:GNZ65565 GXV65557:GXV65565 HHR65557:HHR65565 HRN65557:HRN65565 IBJ65557:IBJ65565 ILF65557:ILF65565 IVB65557:IVB65565 JEX65557:JEX65565 JOT65557:JOT65565 JYP65557:JYP65565 KIL65557:KIL65565 KSH65557:KSH65565 LCD65557:LCD65565 LLZ65557:LLZ65565 LVV65557:LVV65565 MFR65557:MFR65565 MPN65557:MPN65565 MZJ65557:MZJ65565 NJF65557:NJF65565 NTB65557:NTB65565 OCX65557:OCX65565 OMT65557:OMT65565 OWP65557:OWP65565 PGL65557:PGL65565 PQH65557:PQH65565 QAD65557:QAD65565 QJZ65557:QJZ65565 QTV65557:QTV65565 RDR65557:RDR65565 RNN65557:RNN65565 RXJ65557:RXJ65565 SHF65557:SHF65565 SRB65557:SRB65565 TAX65557:TAX65565 TKT65557:TKT65565 TUP65557:TUP65565 UEL65557:UEL65565 UOH65557:UOH65565 UYD65557:UYD65565 VHZ65557:VHZ65565 VRV65557:VRV65565 WBR65557:WBR65565 WLN65557:WLN65565 WVJ65557:WVJ65565 B131093:B131101 IX131093:IX131101 ST131093:ST131101 ACP131093:ACP131101 AML131093:AML131101 AWH131093:AWH131101 BGD131093:BGD131101 BPZ131093:BPZ131101 BZV131093:BZV131101 CJR131093:CJR131101 CTN131093:CTN131101 DDJ131093:DDJ131101 DNF131093:DNF131101 DXB131093:DXB131101 EGX131093:EGX131101 EQT131093:EQT131101 FAP131093:FAP131101 FKL131093:FKL131101 FUH131093:FUH131101 GED131093:GED131101 GNZ131093:GNZ131101 GXV131093:GXV131101 HHR131093:HHR131101 HRN131093:HRN131101 IBJ131093:IBJ131101 ILF131093:ILF131101 IVB131093:IVB131101 JEX131093:JEX131101 JOT131093:JOT131101 JYP131093:JYP131101 KIL131093:KIL131101 KSH131093:KSH131101 LCD131093:LCD131101 LLZ131093:LLZ131101 LVV131093:LVV131101 MFR131093:MFR131101 MPN131093:MPN131101 MZJ131093:MZJ131101 NJF131093:NJF131101 NTB131093:NTB131101 OCX131093:OCX131101 OMT131093:OMT131101 OWP131093:OWP131101 PGL131093:PGL131101 PQH131093:PQH131101 QAD131093:QAD131101 QJZ131093:QJZ131101 QTV131093:QTV131101 RDR131093:RDR131101 RNN131093:RNN131101 RXJ131093:RXJ131101 SHF131093:SHF131101 SRB131093:SRB131101 TAX131093:TAX131101 TKT131093:TKT131101 TUP131093:TUP131101 UEL131093:UEL131101 UOH131093:UOH131101 UYD131093:UYD131101 VHZ131093:VHZ131101 VRV131093:VRV131101 WBR131093:WBR131101 WLN131093:WLN131101 WVJ131093:WVJ131101 B196629:B196637 IX196629:IX196637 ST196629:ST196637 ACP196629:ACP196637 AML196629:AML196637 AWH196629:AWH196637 BGD196629:BGD196637 BPZ196629:BPZ196637 BZV196629:BZV196637 CJR196629:CJR196637 CTN196629:CTN196637 DDJ196629:DDJ196637 DNF196629:DNF196637 DXB196629:DXB196637 EGX196629:EGX196637 EQT196629:EQT196637 FAP196629:FAP196637 FKL196629:FKL196637 FUH196629:FUH196637 GED196629:GED196637 GNZ196629:GNZ196637 GXV196629:GXV196637 HHR196629:HHR196637 HRN196629:HRN196637 IBJ196629:IBJ196637 ILF196629:ILF196637 IVB196629:IVB196637 JEX196629:JEX196637 JOT196629:JOT196637 JYP196629:JYP196637 KIL196629:KIL196637 KSH196629:KSH196637 LCD196629:LCD196637 LLZ196629:LLZ196637 LVV196629:LVV196637 MFR196629:MFR196637 MPN196629:MPN196637 MZJ196629:MZJ196637 NJF196629:NJF196637 NTB196629:NTB196637 OCX196629:OCX196637 OMT196629:OMT196637 OWP196629:OWP196637 PGL196629:PGL196637 PQH196629:PQH196637 QAD196629:QAD196637 QJZ196629:QJZ196637 QTV196629:QTV196637 RDR196629:RDR196637 RNN196629:RNN196637 RXJ196629:RXJ196637 SHF196629:SHF196637 SRB196629:SRB196637 TAX196629:TAX196637 TKT196629:TKT196637 TUP196629:TUP196637 UEL196629:UEL196637 UOH196629:UOH196637 UYD196629:UYD196637 VHZ196629:VHZ196637 VRV196629:VRV196637 WBR196629:WBR196637 WLN196629:WLN196637 WVJ196629:WVJ196637 B262165:B262173 IX262165:IX262173 ST262165:ST262173 ACP262165:ACP262173 AML262165:AML262173 AWH262165:AWH262173 BGD262165:BGD262173 BPZ262165:BPZ262173 BZV262165:BZV262173 CJR262165:CJR262173 CTN262165:CTN262173 DDJ262165:DDJ262173 DNF262165:DNF262173 DXB262165:DXB262173 EGX262165:EGX262173 EQT262165:EQT262173 FAP262165:FAP262173 FKL262165:FKL262173 FUH262165:FUH262173 GED262165:GED262173 GNZ262165:GNZ262173 GXV262165:GXV262173 HHR262165:HHR262173 HRN262165:HRN262173 IBJ262165:IBJ262173 ILF262165:ILF262173 IVB262165:IVB262173 JEX262165:JEX262173 JOT262165:JOT262173 JYP262165:JYP262173 KIL262165:KIL262173 KSH262165:KSH262173 LCD262165:LCD262173 LLZ262165:LLZ262173 LVV262165:LVV262173 MFR262165:MFR262173 MPN262165:MPN262173 MZJ262165:MZJ262173 NJF262165:NJF262173 NTB262165:NTB262173 OCX262165:OCX262173 OMT262165:OMT262173 OWP262165:OWP262173 PGL262165:PGL262173 PQH262165:PQH262173 QAD262165:QAD262173 QJZ262165:QJZ262173 QTV262165:QTV262173 RDR262165:RDR262173 RNN262165:RNN262173 RXJ262165:RXJ262173 SHF262165:SHF262173 SRB262165:SRB262173 TAX262165:TAX262173 TKT262165:TKT262173 TUP262165:TUP262173 UEL262165:UEL262173 UOH262165:UOH262173 UYD262165:UYD262173 VHZ262165:VHZ262173 VRV262165:VRV262173 WBR262165:WBR262173 WLN262165:WLN262173 WVJ262165:WVJ262173 B327701:B327709 IX327701:IX327709 ST327701:ST327709 ACP327701:ACP327709 AML327701:AML327709 AWH327701:AWH327709 BGD327701:BGD327709 BPZ327701:BPZ327709 BZV327701:BZV327709 CJR327701:CJR327709 CTN327701:CTN327709 DDJ327701:DDJ327709 DNF327701:DNF327709 DXB327701:DXB327709 EGX327701:EGX327709 EQT327701:EQT327709 FAP327701:FAP327709 FKL327701:FKL327709 FUH327701:FUH327709 GED327701:GED327709 GNZ327701:GNZ327709 GXV327701:GXV327709 HHR327701:HHR327709 HRN327701:HRN327709 IBJ327701:IBJ327709 ILF327701:ILF327709 IVB327701:IVB327709 JEX327701:JEX327709 JOT327701:JOT327709 JYP327701:JYP327709 KIL327701:KIL327709 KSH327701:KSH327709 LCD327701:LCD327709 LLZ327701:LLZ327709 LVV327701:LVV327709 MFR327701:MFR327709 MPN327701:MPN327709 MZJ327701:MZJ327709 NJF327701:NJF327709 NTB327701:NTB327709 OCX327701:OCX327709 OMT327701:OMT327709 OWP327701:OWP327709 PGL327701:PGL327709 PQH327701:PQH327709 QAD327701:QAD327709 QJZ327701:QJZ327709 QTV327701:QTV327709 RDR327701:RDR327709 RNN327701:RNN327709 RXJ327701:RXJ327709 SHF327701:SHF327709 SRB327701:SRB327709 TAX327701:TAX327709 TKT327701:TKT327709 TUP327701:TUP327709 UEL327701:UEL327709 UOH327701:UOH327709 UYD327701:UYD327709 VHZ327701:VHZ327709 VRV327701:VRV327709 WBR327701:WBR327709 WLN327701:WLN327709 WVJ327701:WVJ327709 B393237:B393245 IX393237:IX393245 ST393237:ST393245 ACP393237:ACP393245 AML393237:AML393245 AWH393237:AWH393245 BGD393237:BGD393245 BPZ393237:BPZ393245 BZV393237:BZV393245 CJR393237:CJR393245 CTN393237:CTN393245 DDJ393237:DDJ393245 DNF393237:DNF393245 DXB393237:DXB393245 EGX393237:EGX393245 EQT393237:EQT393245 FAP393237:FAP393245 FKL393237:FKL393245 FUH393237:FUH393245 GED393237:GED393245 GNZ393237:GNZ393245 GXV393237:GXV393245 HHR393237:HHR393245 HRN393237:HRN393245 IBJ393237:IBJ393245 ILF393237:ILF393245 IVB393237:IVB393245 JEX393237:JEX393245 JOT393237:JOT393245 JYP393237:JYP393245 KIL393237:KIL393245 KSH393237:KSH393245 LCD393237:LCD393245 LLZ393237:LLZ393245 LVV393237:LVV393245 MFR393237:MFR393245 MPN393237:MPN393245 MZJ393237:MZJ393245 NJF393237:NJF393245 NTB393237:NTB393245 OCX393237:OCX393245 OMT393237:OMT393245 OWP393237:OWP393245 PGL393237:PGL393245 PQH393237:PQH393245 QAD393237:QAD393245 QJZ393237:QJZ393245 QTV393237:QTV393245 RDR393237:RDR393245 RNN393237:RNN393245 RXJ393237:RXJ393245 SHF393237:SHF393245 SRB393237:SRB393245 TAX393237:TAX393245 TKT393237:TKT393245 TUP393237:TUP393245 UEL393237:UEL393245 UOH393237:UOH393245 UYD393237:UYD393245 VHZ393237:VHZ393245 VRV393237:VRV393245 WBR393237:WBR393245 WLN393237:WLN393245 WVJ393237:WVJ393245 B458773:B458781 IX458773:IX458781 ST458773:ST458781 ACP458773:ACP458781 AML458773:AML458781 AWH458773:AWH458781 BGD458773:BGD458781 BPZ458773:BPZ458781 BZV458773:BZV458781 CJR458773:CJR458781 CTN458773:CTN458781 DDJ458773:DDJ458781 DNF458773:DNF458781 DXB458773:DXB458781 EGX458773:EGX458781 EQT458773:EQT458781 FAP458773:FAP458781 FKL458773:FKL458781 FUH458773:FUH458781 GED458773:GED458781 GNZ458773:GNZ458781 GXV458773:GXV458781 HHR458773:HHR458781 HRN458773:HRN458781 IBJ458773:IBJ458781 ILF458773:ILF458781 IVB458773:IVB458781 JEX458773:JEX458781 JOT458773:JOT458781 JYP458773:JYP458781 KIL458773:KIL458781 KSH458773:KSH458781 LCD458773:LCD458781 LLZ458773:LLZ458781 LVV458773:LVV458781 MFR458773:MFR458781 MPN458773:MPN458781 MZJ458773:MZJ458781 NJF458773:NJF458781 NTB458773:NTB458781 OCX458773:OCX458781 OMT458773:OMT458781 OWP458773:OWP458781 PGL458773:PGL458781 PQH458773:PQH458781 QAD458773:QAD458781 QJZ458773:QJZ458781 QTV458773:QTV458781 RDR458773:RDR458781 RNN458773:RNN458781 RXJ458773:RXJ458781 SHF458773:SHF458781 SRB458773:SRB458781 TAX458773:TAX458781 TKT458773:TKT458781 TUP458773:TUP458781 UEL458773:UEL458781 UOH458773:UOH458781 UYD458773:UYD458781 VHZ458773:VHZ458781 VRV458773:VRV458781 WBR458773:WBR458781 WLN458773:WLN458781 WVJ458773:WVJ458781 B524309:B524317 IX524309:IX524317 ST524309:ST524317 ACP524309:ACP524317 AML524309:AML524317 AWH524309:AWH524317 BGD524309:BGD524317 BPZ524309:BPZ524317 BZV524309:BZV524317 CJR524309:CJR524317 CTN524309:CTN524317 DDJ524309:DDJ524317 DNF524309:DNF524317 DXB524309:DXB524317 EGX524309:EGX524317 EQT524309:EQT524317 FAP524309:FAP524317 FKL524309:FKL524317 FUH524309:FUH524317 GED524309:GED524317 GNZ524309:GNZ524317 GXV524309:GXV524317 HHR524309:HHR524317 HRN524309:HRN524317 IBJ524309:IBJ524317 ILF524309:ILF524317 IVB524309:IVB524317 JEX524309:JEX524317 JOT524309:JOT524317 JYP524309:JYP524317 KIL524309:KIL524317 KSH524309:KSH524317 LCD524309:LCD524317 LLZ524309:LLZ524317 LVV524309:LVV524317 MFR524309:MFR524317 MPN524309:MPN524317 MZJ524309:MZJ524317 NJF524309:NJF524317 NTB524309:NTB524317 OCX524309:OCX524317 OMT524309:OMT524317 OWP524309:OWP524317 PGL524309:PGL524317 PQH524309:PQH524317 QAD524309:QAD524317 QJZ524309:QJZ524317 QTV524309:QTV524317 RDR524309:RDR524317 RNN524309:RNN524317 RXJ524309:RXJ524317 SHF524309:SHF524317 SRB524309:SRB524317 TAX524309:TAX524317 TKT524309:TKT524317 TUP524309:TUP524317 UEL524309:UEL524317 UOH524309:UOH524317 UYD524309:UYD524317 VHZ524309:VHZ524317 VRV524309:VRV524317 WBR524309:WBR524317 WLN524309:WLN524317 WVJ524309:WVJ524317 B589845:B589853 IX589845:IX589853 ST589845:ST589853 ACP589845:ACP589853 AML589845:AML589853 AWH589845:AWH589853 BGD589845:BGD589853 BPZ589845:BPZ589853 BZV589845:BZV589853 CJR589845:CJR589853 CTN589845:CTN589853 DDJ589845:DDJ589853 DNF589845:DNF589853 DXB589845:DXB589853 EGX589845:EGX589853 EQT589845:EQT589853 FAP589845:FAP589853 FKL589845:FKL589853 FUH589845:FUH589853 GED589845:GED589853 GNZ589845:GNZ589853 GXV589845:GXV589853 HHR589845:HHR589853 HRN589845:HRN589853 IBJ589845:IBJ589853 ILF589845:ILF589853 IVB589845:IVB589853 JEX589845:JEX589853 JOT589845:JOT589853 JYP589845:JYP589853 KIL589845:KIL589853 KSH589845:KSH589853 LCD589845:LCD589853 LLZ589845:LLZ589853 LVV589845:LVV589853 MFR589845:MFR589853 MPN589845:MPN589853 MZJ589845:MZJ589853 NJF589845:NJF589853 NTB589845:NTB589853 OCX589845:OCX589853 OMT589845:OMT589853 OWP589845:OWP589853 PGL589845:PGL589853 PQH589845:PQH589853 QAD589845:QAD589853 QJZ589845:QJZ589853 QTV589845:QTV589853 RDR589845:RDR589853 RNN589845:RNN589853 RXJ589845:RXJ589853 SHF589845:SHF589853 SRB589845:SRB589853 TAX589845:TAX589853 TKT589845:TKT589853 TUP589845:TUP589853 UEL589845:UEL589853 UOH589845:UOH589853 UYD589845:UYD589853 VHZ589845:VHZ589853 VRV589845:VRV589853 WBR589845:WBR589853 WLN589845:WLN589853 WVJ589845:WVJ589853 B655381:B655389 IX655381:IX655389 ST655381:ST655389 ACP655381:ACP655389 AML655381:AML655389 AWH655381:AWH655389 BGD655381:BGD655389 BPZ655381:BPZ655389 BZV655381:BZV655389 CJR655381:CJR655389 CTN655381:CTN655389 DDJ655381:DDJ655389 DNF655381:DNF655389 DXB655381:DXB655389 EGX655381:EGX655389 EQT655381:EQT655389 FAP655381:FAP655389 FKL655381:FKL655389 FUH655381:FUH655389 GED655381:GED655389 GNZ655381:GNZ655389 GXV655381:GXV655389 HHR655381:HHR655389 HRN655381:HRN655389 IBJ655381:IBJ655389 ILF655381:ILF655389 IVB655381:IVB655389 JEX655381:JEX655389 JOT655381:JOT655389 JYP655381:JYP655389 KIL655381:KIL655389 KSH655381:KSH655389 LCD655381:LCD655389 LLZ655381:LLZ655389 LVV655381:LVV655389 MFR655381:MFR655389 MPN655381:MPN655389 MZJ655381:MZJ655389 NJF655381:NJF655389 NTB655381:NTB655389 OCX655381:OCX655389 OMT655381:OMT655389 OWP655381:OWP655389 PGL655381:PGL655389 PQH655381:PQH655389 QAD655381:QAD655389 QJZ655381:QJZ655389 QTV655381:QTV655389 RDR655381:RDR655389 RNN655381:RNN655389 RXJ655381:RXJ655389 SHF655381:SHF655389 SRB655381:SRB655389 TAX655381:TAX655389 TKT655381:TKT655389 TUP655381:TUP655389 UEL655381:UEL655389 UOH655381:UOH655389 UYD655381:UYD655389 VHZ655381:VHZ655389 VRV655381:VRV655389 WBR655381:WBR655389 WLN655381:WLN655389 WVJ655381:WVJ655389 B720917:B720925 IX720917:IX720925 ST720917:ST720925 ACP720917:ACP720925 AML720917:AML720925 AWH720917:AWH720925 BGD720917:BGD720925 BPZ720917:BPZ720925 BZV720917:BZV720925 CJR720917:CJR720925 CTN720917:CTN720925 DDJ720917:DDJ720925 DNF720917:DNF720925 DXB720917:DXB720925 EGX720917:EGX720925 EQT720917:EQT720925 FAP720917:FAP720925 FKL720917:FKL720925 FUH720917:FUH720925 GED720917:GED720925 GNZ720917:GNZ720925 GXV720917:GXV720925 HHR720917:HHR720925 HRN720917:HRN720925 IBJ720917:IBJ720925 ILF720917:ILF720925 IVB720917:IVB720925 JEX720917:JEX720925 JOT720917:JOT720925 JYP720917:JYP720925 KIL720917:KIL720925 KSH720917:KSH720925 LCD720917:LCD720925 LLZ720917:LLZ720925 LVV720917:LVV720925 MFR720917:MFR720925 MPN720917:MPN720925 MZJ720917:MZJ720925 NJF720917:NJF720925 NTB720917:NTB720925 OCX720917:OCX720925 OMT720917:OMT720925 OWP720917:OWP720925 PGL720917:PGL720925 PQH720917:PQH720925 QAD720917:QAD720925 QJZ720917:QJZ720925 QTV720917:QTV720925 RDR720917:RDR720925 RNN720917:RNN720925 RXJ720917:RXJ720925 SHF720917:SHF720925 SRB720917:SRB720925 TAX720917:TAX720925 TKT720917:TKT720925 TUP720917:TUP720925 UEL720917:UEL720925 UOH720917:UOH720925 UYD720917:UYD720925 VHZ720917:VHZ720925 VRV720917:VRV720925 WBR720917:WBR720925 WLN720917:WLN720925 WVJ720917:WVJ720925 B786453:B786461 IX786453:IX786461 ST786453:ST786461 ACP786453:ACP786461 AML786453:AML786461 AWH786453:AWH786461 BGD786453:BGD786461 BPZ786453:BPZ786461 BZV786453:BZV786461 CJR786453:CJR786461 CTN786453:CTN786461 DDJ786453:DDJ786461 DNF786453:DNF786461 DXB786453:DXB786461 EGX786453:EGX786461 EQT786453:EQT786461 FAP786453:FAP786461 FKL786453:FKL786461 FUH786453:FUH786461 GED786453:GED786461 GNZ786453:GNZ786461 GXV786453:GXV786461 HHR786453:HHR786461 HRN786453:HRN786461 IBJ786453:IBJ786461 ILF786453:ILF786461 IVB786453:IVB786461 JEX786453:JEX786461 JOT786453:JOT786461 JYP786453:JYP786461 KIL786453:KIL786461 KSH786453:KSH786461 LCD786453:LCD786461 LLZ786453:LLZ786461 LVV786453:LVV786461 MFR786453:MFR786461 MPN786453:MPN786461 MZJ786453:MZJ786461 NJF786453:NJF786461 NTB786453:NTB786461 OCX786453:OCX786461 OMT786453:OMT786461 OWP786453:OWP786461 PGL786453:PGL786461 PQH786453:PQH786461 QAD786453:QAD786461 QJZ786453:QJZ786461 QTV786453:QTV786461 RDR786453:RDR786461 RNN786453:RNN786461 RXJ786453:RXJ786461 SHF786453:SHF786461 SRB786453:SRB786461 TAX786453:TAX786461 TKT786453:TKT786461 TUP786453:TUP786461 UEL786453:UEL786461 UOH786453:UOH786461 UYD786453:UYD786461 VHZ786453:VHZ786461 VRV786453:VRV786461 WBR786453:WBR786461 WLN786453:WLN786461 WVJ786453:WVJ786461 B851989:B851997 IX851989:IX851997 ST851989:ST851997 ACP851989:ACP851997 AML851989:AML851997 AWH851989:AWH851997 BGD851989:BGD851997 BPZ851989:BPZ851997 BZV851989:BZV851997 CJR851989:CJR851997 CTN851989:CTN851997 DDJ851989:DDJ851997 DNF851989:DNF851997 DXB851989:DXB851997 EGX851989:EGX851997 EQT851989:EQT851997 FAP851989:FAP851997 FKL851989:FKL851997 FUH851989:FUH851997 GED851989:GED851997 GNZ851989:GNZ851997 GXV851989:GXV851997 HHR851989:HHR851997 HRN851989:HRN851997 IBJ851989:IBJ851997 ILF851989:ILF851997 IVB851989:IVB851997 JEX851989:JEX851997 JOT851989:JOT851997 JYP851989:JYP851997 KIL851989:KIL851997 KSH851989:KSH851997 LCD851989:LCD851997 LLZ851989:LLZ851997 LVV851989:LVV851997 MFR851989:MFR851997 MPN851989:MPN851997 MZJ851989:MZJ851997 NJF851989:NJF851997 NTB851989:NTB851997 OCX851989:OCX851997 OMT851989:OMT851997 OWP851989:OWP851997 PGL851989:PGL851997 PQH851989:PQH851997 QAD851989:QAD851997 QJZ851989:QJZ851997 QTV851989:QTV851997 RDR851989:RDR851997 RNN851989:RNN851997 RXJ851989:RXJ851997 SHF851989:SHF851997 SRB851989:SRB851997 TAX851989:TAX851997 TKT851989:TKT851997 TUP851989:TUP851997 UEL851989:UEL851997 UOH851989:UOH851997 UYD851989:UYD851997 VHZ851989:VHZ851997 VRV851989:VRV851997 WBR851989:WBR851997 WLN851989:WLN851997 WVJ851989:WVJ851997 B917525:B917533 IX917525:IX917533 ST917525:ST917533 ACP917525:ACP917533 AML917525:AML917533 AWH917525:AWH917533 BGD917525:BGD917533 BPZ917525:BPZ917533 BZV917525:BZV917533 CJR917525:CJR917533 CTN917525:CTN917533 DDJ917525:DDJ917533 DNF917525:DNF917533 DXB917525:DXB917533 EGX917525:EGX917533 EQT917525:EQT917533 FAP917525:FAP917533 FKL917525:FKL917533 FUH917525:FUH917533 GED917525:GED917533 GNZ917525:GNZ917533 GXV917525:GXV917533 HHR917525:HHR917533 HRN917525:HRN917533 IBJ917525:IBJ917533 ILF917525:ILF917533 IVB917525:IVB917533 JEX917525:JEX917533 JOT917525:JOT917533 JYP917525:JYP917533 KIL917525:KIL917533 KSH917525:KSH917533 LCD917525:LCD917533 LLZ917525:LLZ917533 LVV917525:LVV917533 MFR917525:MFR917533 MPN917525:MPN917533 MZJ917525:MZJ917533 NJF917525:NJF917533 NTB917525:NTB917533 OCX917525:OCX917533 OMT917525:OMT917533 OWP917525:OWP917533 PGL917525:PGL917533 PQH917525:PQH917533 QAD917525:QAD917533 QJZ917525:QJZ917533 QTV917525:QTV917533 RDR917525:RDR917533 RNN917525:RNN917533 RXJ917525:RXJ917533 SHF917525:SHF917533 SRB917525:SRB917533 TAX917525:TAX917533 TKT917525:TKT917533 TUP917525:TUP917533 UEL917525:UEL917533 UOH917525:UOH917533 UYD917525:UYD917533 VHZ917525:VHZ917533 VRV917525:VRV917533 WBR917525:WBR917533 WLN917525:WLN917533 WVJ917525:WVJ917533 B983061:B983069 IX983061:IX983069 ST983061:ST983069 ACP983061:ACP983069 AML983061:AML983069 AWH983061:AWH983069 BGD983061:BGD983069 BPZ983061:BPZ983069 BZV983061:BZV983069 CJR983061:CJR983069 CTN983061:CTN983069 DDJ983061:DDJ983069 DNF983061:DNF983069 DXB983061:DXB983069 EGX983061:EGX983069 EQT983061:EQT983069 FAP983061:FAP983069 FKL983061:FKL983069 FUH983061:FUH983069 GED983061:GED983069 GNZ983061:GNZ983069 GXV983061:GXV983069 HHR983061:HHR983069 HRN983061:HRN983069 IBJ983061:IBJ983069 ILF983061:ILF983069 IVB983061:IVB983069 JEX983061:JEX983069 JOT983061:JOT983069 JYP983061:JYP983069 KIL983061:KIL983069 KSH983061:KSH983069 LCD983061:LCD983069 LLZ983061:LLZ983069 LVV983061:LVV983069 MFR983061:MFR983069 MPN983061:MPN983069 MZJ983061:MZJ983069 NJF983061:NJF983069 NTB983061:NTB983069 OCX983061:OCX983069 OMT983061:OMT983069 OWP983061:OWP983069 PGL983061:PGL983069 PQH983061:PQH983069 QAD983061:QAD983069 QJZ983061:QJZ983069 QTV983061:QTV983069 RDR983061:RDR983069 RNN983061:RNN983069 RXJ983061:RXJ983069 SHF983061:SHF983069 SRB983061:SRB983069 TAX983061:TAX983069 TKT983061:TKT983069 TUP983061:TUP983069 UEL983061:UEL983069 UOH983061:UOH983069 UYD983061:UYD983069 VHZ983061:VHZ983069 VRV983061:VRV983069 WBR983061:WBR983069 WLN983061:WLN983069 WVJ983061:WVJ983069" xr:uid="{592152BB-1B3D-44C8-A8FE-74FFE02D2139}">
      <formula1>$A$49:$A$89</formula1>
    </dataValidation>
  </dataValidations>
  <printOptions horizontalCentered="1"/>
  <pageMargins left="0.74803149606299213" right="0.74803149606299213" top="0.98425196850393704" bottom="0.98425196850393704" header="0.51181102362204722" footer="0.51181102362204722"/>
  <pageSetup paperSize="9" scale="93" orientation="portrait" r:id="rId1"/>
  <headerFooter scaleWithDoc="0" alignWithMargins="0">
    <oddHeader>&amp;L&amp;"-,Regular"&amp;8&amp;F&amp;R&amp;"-,Regular"&amp;8&amp;A
____________________________________________________________________________</oddHeader>
    <oddFooter>&amp;L&amp;"-,Regular"&amp;8___________________________________________________________________________________
NZ Transport Agency’s Economic evaluation manual 
Effective from Jul 2013</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121F-637B-4194-814E-0FB58D1A311C}">
  <sheetPr>
    <pageSetUpPr fitToPage="1"/>
  </sheetPr>
  <dimension ref="A1:AC82"/>
  <sheetViews>
    <sheetView zoomScaleNormal="100" workbookViewId="0">
      <selection activeCell="N16" sqref="N16:Q16"/>
    </sheetView>
  </sheetViews>
  <sheetFormatPr defaultRowHeight="12.6"/>
  <cols>
    <col min="1" max="1" width="2.5" style="61" customWidth="1"/>
    <col min="2" max="2" width="6" style="61" customWidth="1"/>
    <col min="3" max="3" width="5.69921875" style="61" customWidth="1"/>
    <col min="4" max="5" width="4.5" style="61" customWidth="1"/>
    <col min="6" max="6" width="6.69921875" style="61" customWidth="1"/>
    <col min="7" max="7" width="5.5" style="61" customWidth="1"/>
    <col min="8" max="8" width="4.5" style="61" customWidth="1"/>
    <col min="9" max="9" width="5.19921875" style="61" customWidth="1"/>
    <col min="10" max="10" width="6.296875" style="61" customWidth="1"/>
    <col min="11" max="16" width="4.5" style="61" customWidth="1"/>
    <col min="17" max="17" width="10" style="61" customWidth="1"/>
    <col min="18" max="18" width="3.19921875" style="62" customWidth="1"/>
    <col min="19" max="19" width="13.69921875" style="61" customWidth="1"/>
    <col min="20" max="20" width="26.69921875" style="61" customWidth="1"/>
    <col min="21" max="24" width="13.69921875" style="61" customWidth="1"/>
    <col min="25" max="26" width="9" style="61"/>
    <col min="27" max="29" width="9" style="61" customWidth="1"/>
    <col min="30" max="256" width="9" style="61"/>
    <col min="257" max="257" width="2.5" style="61" customWidth="1"/>
    <col min="258" max="258" width="6" style="61" customWidth="1"/>
    <col min="259" max="259" width="5.69921875" style="61" customWidth="1"/>
    <col min="260" max="264" width="4.5" style="61" customWidth="1"/>
    <col min="265" max="265" width="5.19921875" style="61" customWidth="1"/>
    <col min="266" max="266" width="6.296875" style="61" customWidth="1"/>
    <col min="267" max="272" width="4.5" style="61" customWidth="1"/>
    <col min="273" max="273" width="10" style="61" customWidth="1"/>
    <col min="274" max="274" width="3.19921875" style="61" customWidth="1"/>
    <col min="275" max="275" width="13.69921875" style="61" customWidth="1"/>
    <col min="276" max="276" width="26.69921875" style="61" customWidth="1"/>
    <col min="277" max="280" width="13.69921875" style="61" customWidth="1"/>
    <col min="281" max="282" width="9" style="61"/>
    <col min="283" max="285" width="0" style="61" hidden="1" customWidth="1"/>
    <col min="286" max="512" width="9" style="61"/>
    <col min="513" max="513" width="2.5" style="61" customWidth="1"/>
    <col min="514" max="514" width="6" style="61" customWidth="1"/>
    <col min="515" max="515" width="5.69921875" style="61" customWidth="1"/>
    <col min="516" max="520" width="4.5" style="61" customWidth="1"/>
    <col min="521" max="521" width="5.19921875" style="61" customWidth="1"/>
    <col min="522" max="522" width="6.296875" style="61" customWidth="1"/>
    <col min="523" max="528" width="4.5" style="61" customWidth="1"/>
    <col min="529" max="529" width="10" style="61" customWidth="1"/>
    <col min="530" max="530" width="3.19921875" style="61" customWidth="1"/>
    <col min="531" max="531" width="13.69921875" style="61" customWidth="1"/>
    <col min="532" max="532" width="26.69921875" style="61" customWidth="1"/>
    <col min="533" max="536" width="13.69921875" style="61" customWidth="1"/>
    <col min="537" max="538" width="9" style="61"/>
    <col min="539" max="541" width="0" style="61" hidden="1" customWidth="1"/>
    <col min="542" max="768" width="9" style="61"/>
    <col min="769" max="769" width="2.5" style="61" customWidth="1"/>
    <col min="770" max="770" width="6" style="61" customWidth="1"/>
    <col min="771" max="771" width="5.69921875" style="61" customWidth="1"/>
    <col min="772" max="776" width="4.5" style="61" customWidth="1"/>
    <col min="777" max="777" width="5.19921875" style="61" customWidth="1"/>
    <col min="778" max="778" width="6.296875" style="61" customWidth="1"/>
    <col min="779" max="784" width="4.5" style="61" customWidth="1"/>
    <col min="785" max="785" width="10" style="61" customWidth="1"/>
    <col min="786" max="786" width="3.19921875" style="61" customWidth="1"/>
    <col min="787" max="787" width="13.69921875" style="61" customWidth="1"/>
    <col min="788" max="788" width="26.69921875" style="61" customWidth="1"/>
    <col min="789" max="792" width="13.69921875" style="61" customWidth="1"/>
    <col min="793" max="794" width="9" style="61"/>
    <col min="795" max="797" width="0" style="61" hidden="1" customWidth="1"/>
    <col min="798" max="1024" width="9" style="61"/>
    <col min="1025" max="1025" width="2.5" style="61" customWidth="1"/>
    <col min="1026" max="1026" width="6" style="61" customWidth="1"/>
    <col min="1027" max="1027" width="5.69921875" style="61" customWidth="1"/>
    <col min="1028" max="1032" width="4.5" style="61" customWidth="1"/>
    <col min="1033" max="1033" width="5.19921875" style="61" customWidth="1"/>
    <col min="1034" max="1034" width="6.296875" style="61" customWidth="1"/>
    <col min="1035" max="1040" width="4.5" style="61" customWidth="1"/>
    <col min="1041" max="1041" width="10" style="61" customWidth="1"/>
    <col min="1042" max="1042" width="3.19921875" style="61" customWidth="1"/>
    <col min="1043" max="1043" width="13.69921875" style="61" customWidth="1"/>
    <col min="1044" max="1044" width="26.69921875" style="61" customWidth="1"/>
    <col min="1045" max="1048" width="13.69921875" style="61" customWidth="1"/>
    <col min="1049" max="1050" width="9" style="61"/>
    <col min="1051" max="1053" width="0" style="61" hidden="1" customWidth="1"/>
    <col min="1054" max="1280" width="9" style="61"/>
    <col min="1281" max="1281" width="2.5" style="61" customWidth="1"/>
    <col min="1282" max="1282" width="6" style="61" customWidth="1"/>
    <col min="1283" max="1283" width="5.69921875" style="61" customWidth="1"/>
    <col min="1284" max="1288" width="4.5" style="61" customWidth="1"/>
    <col min="1289" max="1289" width="5.19921875" style="61" customWidth="1"/>
    <col min="1290" max="1290" width="6.296875" style="61" customWidth="1"/>
    <col min="1291" max="1296" width="4.5" style="61" customWidth="1"/>
    <col min="1297" max="1297" width="10" style="61" customWidth="1"/>
    <col min="1298" max="1298" width="3.19921875" style="61" customWidth="1"/>
    <col min="1299" max="1299" width="13.69921875" style="61" customWidth="1"/>
    <col min="1300" max="1300" width="26.69921875" style="61" customWidth="1"/>
    <col min="1301" max="1304" width="13.69921875" style="61" customWidth="1"/>
    <col min="1305" max="1306" width="9" style="61"/>
    <col min="1307" max="1309" width="0" style="61" hidden="1" customWidth="1"/>
    <col min="1310" max="1536" width="9" style="61"/>
    <col min="1537" max="1537" width="2.5" style="61" customWidth="1"/>
    <col min="1538" max="1538" width="6" style="61" customWidth="1"/>
    <col min="1539" max="1539" width="5.69921875" style="61" customWidth="1"/>
    <col min="1540" max="1544" width="4.5" style="61" customWidth="1"/>
    <col min="1545" max="1545" width="5.19921875" style="61" customWidth="1"/>
    <col min="1546" max="1546" width="6.296875" style="61" customWidth="1"/>
    <col min="1547" max="1552" width="4.5" style="61" customWidth="1"/>
    <col min="1553" max="1553" width="10" style="61" customWidth="1"/>
    <col min="1554" max="1554" width="3.19921875" style="61" customWidth="1"/>
    <col min="1555" max="1555" width="13.69921875" style="61" customWidth="1"/>
    <col min="1556" max="1556" width="26.69921875" style="61" customWidth="1"/>
    <col min="1557" max="1560" width="13.69921875" style="61" customWidth="1"/>
    <col min="1561" max="1562" width="9" style="61"/>
    <col min="1563" max="1565" width="0" style="61" hidden="1" customWidth="1"/>
    <col min="1566" max="1792" width="9" style="61"/>
    <col min="1793" max="1793" width="2.5" style="61" customWidth="1"/>
    <col min="1794" max="1794" width="6" style="61" customWidth="1"/>
    <col min="1795" max="1795" width="5.69921875" style="61" customWidth="1"/>
    <col min="1796" max="1800" width="4.5" style="61" customWidth="1"/>
    <col min="1801" max="1801" width="5.19921875" style="61" customWidth="1"/>
    <col min="1802" max="1802" width="6.296875" style="61" customWidth="1"/>
    <col min="1803" max="1808" width="4.5" style="61" customWidth="1"/>
    <col min="1809" max="1809" width="10" style="61" customWidth="1"/>
    <col min="1810" max="1810" width="3.19921875" style="61" customWidth="1"/>
    <col min="1811" max="1811" width="13.69921875" style="61" customWidth="1"/>
    <col min="1812" max="1812" width="26.69921875" style="61" customWidth="1"/>
    <col min="1813" max="1816" width="13.69921875" style="61" customWidth="1"/>
    <col min="1817" max="1818" width="9" style="61"/>
    <col min="1819" max="1821" width="0" style="61" hidden="1" customWidth="1"/>
    <col min="1822" max="2048" width="9" style="61"/>
    <col min="2049" max="2049" width="2.5" style="61" customWidth="1"/>
    <col min="2050" max="2050" width="6" style="61" customWidth="1"/>
    <col min="2051" max="2051" width="5.69921875" style="61" customWidth="1"/>
    <col min="2052" max="2056" width="4.5" style="61" customWidth="1"/>
    <col min="2057" max="2057" width="5.19921875" style="61" customWidth="1"/>
    <col min="2058" max="2058" width="6.296875" style="61" customWidth="1"/>
    <col min="2059" max="2064" width="4.5" style="61" customWidth="1"/>
    <col min="2065" max="2065" width="10" style="61" customWidth="1"/>
    <col min="2066" max="2066" width="3.19921875" style="61" customWidth="1"/>
    <col min="2067" max="2067" width="13.69921875" style="61" customWidth="1"/>
    <col min="2068" max="2068" width="26.69921875" style="61" customWidth="1"/>
    <col min="2069" max="2072" width="13.69921875" style="61" customWidth="1"/>
    <col min="2073" max="2074" width="9" style="61"/>
    <col min="2075" max="2077" width="0" style="61" hidden="1" customWidth="1"/>
    <col min="2078" max="2304" width="9" style="61"/>
    <col min="2305" max="2305" width="2.5" style="61" customWidth="1"/>
    <col min="2306" max="2306" width="6" style="61" customWidth="1"/>
    <col min="2307" max="2307" width="5.69921875" style="61" customWidth="1"/>
    <col min="2308" max="2312" width="4.5" style="61" customWidth="1"/>
    <col min="2313" max="2313" width="5.19921875" style="61" customWidth="1"/>
    <col min="2314" max="2314" width="6.296875" style="61" customWidth="1"/>
    <col min="2315" max="2320" width="4.5" style="61" customWidth="1"/>
    <col min="2321" max="2321" width="10" style="61" customWidth="1"/>
    <col min="2322" max="2322" width="3.19921875" style="61" customWidth="1"/>
    <col min="2323" max="2323" width="13.69921875" style="61" customWidth="1"/>
    <col min="2324" max="2324" width="26.69921875" style="61" customWidth="1"/>
    <col min="2325" max="2328" width="13.69921875" style="61" customWidth="1"/>
    <col min="2329" max="2330" width="9" style="61"/>
    <col min="2331" max="2333" width="0" style="61" hidden="1" customWidth="1"/>
    <col min="2334" max="2560" width="9" style="61"/>
    <col min="2561" max="2561" width="2.5" style="61" customWidth="1"/>
    <col min="2562" max="2562" width="6" style="61" customWidth="1"/>
    <col min="2563" max="2563" width="5.69921875" style="61" customWidth="1"/>
    <col min="2564" max="2568" width="4.5" style="61" customWidth="1"/>
    <col min="2569" max="2569" width="5.19921875" style="61" customWidth="1"/>
    <col min="2570" max="2570" width="6.296875" style="61" customWidth="1"/>
    <col min="2571" max="2576" width="4.5" style="61" customWidth="1"/>
    <col min="2577" max="2577" width="10" style="61" customWidth="1"/>
    <col min="2578" max="2578" width="3.19921875" style="61" customWidth="1"/>
    <col min="2579" max="2579" width="13.69921875" style="61" customWidth="1"/>
    <col min="2580" max="2580" width="26.69921875" style="61" customWidth="1"/>
    <col min="2581" max="2584" width="13.69921875" style="61" customWidth="1"/>
    <col min="2585" max="2586" width="9" style="61"/>
    <col min="2587" max="2589" width="0" style="61" hidden="1" customWidth="1"/>
    <col min="2590" max="2816" width="9" style="61"/>
    <col min="2817" max="2817" width="2.5" style="61" customWidth="1"/>
    <col min="2818" max="2818" width="6" style="61" customWidth="1"/>
    <col min="2819" max="2819" width="5.69921875" style="61" customWidth="1"/>
    <col min="2820" max="2824" width="4.5" style="61" customWidth="1"/>
    <col min="2825" max="2825" width="5.19921875" style="61" customWidth="1"/>
    <col min="2826" max="2826" width="6.296875" style="61" customWidth="1"/>
    <col min="2827" max="2832" width="4.5" style="61" customWidth="1"/>
    <col min="2833" max="2833" width="10" style="61" customWidth="1"/>
    <col min="2834" max="2834" width="3.19921875" style="61" customWidth="1"/>
    <col min="2835" max="2835" width="13.69921875" style="61" customWidth="1"/>
    <col min="2836" max="2836" width="26.69921875" style="61" customWidth="1"/>
    <col min="2837" max="2840" width="13.69921875" style="61" customWidth="1"/>
    <col min="2841" max="2842" width="9" style="61"/>
    <col min="2843" max="2845" width="0" style="61" hidden="1" customWidth="1"/>
    <col min="2846" max="3072" width="9" style="61"/>
    <col min="3073" max="3073" width="2.5" style="61" customWidth="1"/>
    <col min="3074" max="3074" width="6" style="61" customWidth="1"/>
    <col min="3075" max="3075" width="5.69921875" style="61" customWidth="1"/>
    <col min="3076" max="3080" width="4.5" style="61" customWidth="1"/>
    <col min="3081" max="3081" width="5.19921875" style="61" customWidth="1"/>
    <col min="3082" max="3082" width="6.296875" style="61" customWidth="1"/>
    <col min="3083" max="3088" width="4.5" style="61" customWidth="1"/>
    <col min="3089" max="3089" width="10" style="61" customWidth="1"/>
    <col min="3090" max="3090" width="3.19921875" style="61" customWidth="1"/>
    <col min="3091" max="3091" width="13.69921875" style="61" customWidth="1"/>
    <col min="3092" max="3092" width="26.69921875" style="61" customWidth="1"/>
    <col min="3093" max="3096" width="13.69921875" style="61" customWidth="1"/>
    <col min="3097" max="3098" width="9" style="61"/>
    <col min="3099" max="3101" width="0" style="61" hidden="1" customWidth="1"/>
    <col min="3102" max="3328" width="9" style="61"/>
    <col min="3329" max="3329" width="2.5" style="61" customWidth="1"/>
    <col min="3330" max="3330" width="6" style="61" customWidth="1"/>
    <col min="3331" max="3331" width="5.69921875" style="61" customWidth="1"/>
    <col min="3332" max="3336" width="4.5" style="61" customWidth="1"/>
    <col min="3337" max="3337" width="5.19921875" style="61" customWidth="1"/>
    <col min="3338" max="3338" width="6.296875" style="61" customWidth="1"/>
    <col min="3339" max="3344" width="4.5" style="61" customWidth="1"/>
    <col min="3345" max="3345" width="10" style="61" customWidth="1"/>
    <col min="3346" max="3346" width="3.19921875" style="61" customWidth="1"/>
    <col min="3347" max="3347" width="13.69921875" style="61" customWidth="1"/>
    <col min="3348" max="3348" width="26.69921875" style="61" customWidth="1"/>
    <col min="3349" max="3352" width="13.69921875" style="61" customWidth="1"/>
    <col min="3353" max="3354" width="9" style="61"/>
    <col min="3355" max="3357" width="0" style="61" hidden="1" customWidth="1"/>
    <col min="3358" max="3584" width="9" style="61"/>
    <col min="3585" max="3585" width="2.5" style="61" customWidth="1"/>
    <col min="3586" max="3586" width="6" style="61" customWidth="1"/>
    <col min="3587" max="3587" width="5.69921875" style="61" customWidth="1"/>
    <col min="3588" max="3592" width="4.5" style="61" customWidth="1"/>
    <col min="3593" max="3593" width="5.19921875" style="61" customWidth="1"/>
    <col min="3594" max="3594" width="6.296875" style="61" customWidth="1"/>
    <col min="3595" max="3600" width="4.5" style="61" customWidth="1"/>
    <col min="3601" max="3601" width="10" style="61" customWidth="1"/>
    <col min="3602" max="3602" width="3.19921875" style="61" customWidth="1"/>
    <col min="3603" max="3603" width="13.69921875" style="61" customWidth="1"/>
    <col min="3604" max="3604" width="26.69921875" style="61" customWidth="1"/>
    <col min="3605" max="3608" width="13.69921875" style="61" customWidth="1"/>
    <col min="3609" max="3610" width="9" style="61"/>
    <col min="3611" max="3613" width="0" style="61" hidden="1" customWidth="1"/>
    <col min="3614" max="3840" width="9" style="61"/>
    <col min="3841" max="3841" width="2.5" style="61" customWidth="1"/>
    <col min="3842" max="3842" width="6" style="61" customWidth="1"/>
    <col min="3843" max="3843" width="5.69921875" style="61" customWidth="1"/>
    <col min="3844" max="3848" width="4.5" style="61" customWidth="1"/>
    <col min="3849" max="3849" width="5.19921875" style="61" customWidth="1"/>
    <col min="3850" max="3850" width="6.296875" style="61" customWidth="1"/>
    <col min="3851" max="3856" width="4.5" style="61" customWidth="1"/>
    <col min="3857" max="3857" width="10" style="61" customWidth="1"/>
    <col min="3858" max="3858" width="3.19921875" style="61" customWidth="1"/>
    <col min="3859" max="3859" width="13.69921875" style="61" customWidth="1"/>
    <col min="3860" max="3860" width="26.69921875" style="61" customWidth="1"/>
    <col min="3861" max="3864" width="13.69921875" style="61" customWidth="1"/>
    <col min="3865" max="3866" width="9" style="61"/>
    <col min="3867" max="3869" width="0" style="61" hidden="1" customWidth="1"/>
    <col min="3870" max="4096" width="9" style="61"/>
    <col min="4097" max="4097" width="2.5" style="61" customWidth="1"/>
    <col min="4098" max="4098" width="6" style="61" customWidth="1"/>
    <col min="4099" max="4099" width="5.69921875" style="61" customWidth="1"/>
    <col min="4100" max="4104" width="4.5" style="61" customWidth="1"/>
    <col min="4105" max="4105" width="5.19921875" style="61" customWidth="1"/>
    <col min="4106" max="4106" width="6.296875" style="61" customWidth="1"/>
    <col min="4107" max="4112" width="4.5" style="61" customWidth="1"/>
    <col min="4113" max="4113" width="10" style="61" customWidth="1"/>
    <col min="4114" max="4114" width="3.19921875" style="61" customWidth="1"/>
    <col min="4115" max="4115" width="13.69921875" style="61" customWidth="1"/>
    <col min="4116" max="4116" width="26.69921875" style="61" customWidth="1"/>
    <col min="4117" max="4120" width="13.69921875" style="61" customWidth="1"/>
    <col min="4121" max="4122" width="9" style="61"/>
    <col min="4123" max="4125" width="0" style="61" hidden="1" customWidth="1"/>
    <col min="4126" max="4352" width="9" style="61"/>
    <col min="4353" max="4353" width="2.5" style="61" customWidth="1"/>
    <col min="4354" max="4354" width="6" style="61" customWidth="1"/>
    <col min="4355" max="4355" width="5.69921875" style="61" customWidth="1"/>
    <col min="4356" max="4360" width="4.5" style="61" customWidth="1"/>
    <col min="4361" max="4361" width="5.19921875" style="61" customWidth="1"/>
    <col min="4362" max="4362" width="6.296875" style="61" customWidth="1"/>
    <col min="4363" max="4368" width="4.5" style="61" customWidth="1"/>
    <col min="4369" max="4369" width="10" style="61" customWidth="1"/>
    <col min="4370" max="4370" width="3.19921875" style="61" customWidth="1"/>
    <col min="4371" max="4371" width="13.69921875" style="61" customWidth="1"/>
    <col min="4372" max="4372" width="26.69921875" style="61" customWidth="1"/>
    <col min="4373" max="4376" width="13.69921875" style="61" customWidth="1"/>
    <col min="4377" max="4378" width="9" style="61"/>
    <col min="4379" max="4381" width="0" style="61" hidden="1" customWidth="1"/>
    <col min="4382" max="4608" width="9" style="61"/>
    <col min="4609" max="4609" width="2.5" style="61" customWidth="1"/>
    <col min="4610" max="4610" width="6" style="61" customWidth="1"/>
    <col min="4611" max="4611" width="5.69921875" style="61" customWidth="1"/>
    <col min="4612" max="4616" width="4.5" style="61" customWidth="1"/>
    <col min="4617" max="4617" width="5.19921875" style="61" customWidth="1"/>
    <col min="4618" max="4618" width="6.296875" style="61" customWidth="1"/>
    <col min="4619" max="4624" width="4.5" style="61" customWidth="1"/>
    <col min="4625" max="4625" width="10" style="61" customWidth="1"/>
    <col min="4626" max="4626" width="3.19921875" style="61" customWidth="1"/>
    <col min="4627" max="4627" width="13.69921875" style="61" customWidth="1"/>
    <col min="4628" max="4628" width="26.69921875" style="61" customWidth="1"/>
    <col min="4629" max="4632" width="13.69921875" style="61" customWidth="1"/>
    <col min="4633" max="4634" width="9" style="61"/>
    <col min="4635" max="4637" width="0" style="61" hidden="1" customWidth="1"/>
    <col min="4638" max="4864" width="9" style="61"/>
    <col min="4865" max="4865" width="2.5" style="61" customWidth="1"/>
    <col min="4866" max="4866" width="6" style="61" customWidth="1"/>
    <col min="4867" max="4867" width="5.69921875" style="61" customWidth="1"/>
    <col min="4868" max="4872" width="4.5" style="61" customWidth="1"/>
    <col min="4873" max="4873" width="5.19921875" style="61" customWidth="1"/>
    <col min="4874" max="4874" width="6.296875" style="61" customWidth="1"/>
    <col min="4875" max="4880" width="4.5" style="61" customWidth="1"/>
    <col min="4881" max="4881" width="10" style="61" customWidth="1"/>
    <col min="4882" max="4882" width="3.19921875" style="61" customWidth="1"/>
    <col min="4883" max="4883" width="13.69921875" style="61" customWidth="1"/>
    <col min="4884" max="4884" width="26.69921875" style="61" customWidth="1"/>
    <col min="4885" max="4888" width="13.69921875" style="61" customWidth="1"/>
    <col min="4889" max="4890" width="9" style="61"/>
    <col min="4891" max="4893" width="0" style="61" hidden="1" customWidth="1"/>
    <col min="4894" max="5120" width="9" style="61"/>
    <col min="5121" max="5121" width="2.5" style="61" customWidth="1"/>
    <col min="5122" max="5122" width="6" style="61" customWidth="1"/>
    <col min="5123" max="5123" width="5.69921875" style="61" customWidth="1"/>
    <col min="5124" max="5128" width="4.5" style="61" customWidth="1"/>
    <col min="5129" max="5129" width="5.19921875" style="61" customWidth="1"/>
    <col min="5130" max="5130" width="6.296875" style="61" customWidth="1"/>
    <col min="5131" max="5136" width="4.5" style="61" customWidth="1"/>
    <col min="5137" max="5137" width="10" style="61" customWidth="1"/>
    <col min="5138" max="5138" width="3.19921875" style="61" customWidth="1"/>
    <col min="5139" max="5139" width="13.69921875" style="61" customWidth="1"/>
    <col min="5140" max="5140" width="26.69921875" style="61" customWidth="1"/>
    <col min="5141" max="5144" width="13.69921875" style="61" customWidth="1"/>
    <col min="5145" max="5146" width="9" style="61"/>
    <col min="5147" max="5149" width="0" style="61" hidden="1" customWidth="1"/>
    <col min="5150" max="5376" width="9" style="61"/>
    <col min="5377" max="5377" width="2.5" style="61" customWidth="1"/>
    <col min="5378" max="5378" width="6" style="61" customWidth="1"/>
    <col min="5379" max="5379" width="5.69921875" style="61" customWidth="1"/>
    <col min="5380" max="5384" width="4.5" style="61" customWidth="1"/>
    <col min="5385" max="5385" width="5.19921875" style="61" customWidth="1"/>
    <col min="5386" max="5386" width="6.296875" style="61" customWidth="1"/>
    <col min="5387" max="5392" width="4.5" style="61" customWidth="1"/>
    <col min="5393" max="5393" width="10" style="61" customWidth="1"/>
    <col min="5394" max="5394" width="3.19921875" style="61" customWidth="1"/>
    <col min="5395" max="5395" width="13.69921875" style="61" customWidth="1"/>
    <col min="5396" max="5396" width="26.69921875" style="61" customWidth="1"/>
    <col min="5397" max="5400" width="13.69921875" style="61" customWidth="1"/>
    <col min="5401" max="5402" width="9" style="61"/>
    <col min="5403" max="5405" width="0" style="61" hidden="1" customWidth="1"/>
    <col min="5406" max="5632" width="9" style="61"/>
    <col min="5633" max="5633" width="2.5" style="61" customWidth="1"/>
    <col min="5634" max="5634" width="6" style="61" customWidth="1"/>
    <col min="5635" max="5635" width="5.69921875" style="61" customWidth="1"/>
    <col min="5636" max="5640" width="4.5" style="61" customWidth="1"/>
    <col min="5641" max="5641" width="5.19921875" style="61" customWidth="1"/>
    <col min="5642" max="5642" width="6.296875" style="61" customWidth="1"/>
    <col min="5643" max="5648" width="4.5" style="61" customWidth="1"/>
    <col min="5649" max="5649" width="10" style="61" customWidth="1"/>
    <col min="5650" max="5650" width="3.19921875" style="61" customWidth="1"/>
    <col min="5651" max="5651" width="13.69921875" style="61" customWidth="1"/>
    <col min="5652" max="5652" width="26.69921875" style="61" customWidth="1"/>
    <col min="5653" max="5656" width="13.69921875" style="61" customWidth="1"/>
    <col min="5657" max="5658" width="9" style="61"/>
    <col min="5659" max="5661" width="0" style="61" hidden="1" customWidth="1"/>
    <col min="5662" max="5888" width="9" style="61"/>
    <col min="5889" max="5889" width="2.5" style="61" customWidth="1"/>
    <col min="5890" max="5890" width="6" style="61" customWidth="1"/>
    <col min="5891" max="5891" width="5.69921875" style="61" customWidth="1"/>
    <col min="5892" max="5896" width="4.5" style="61" customWidth="1"/>
    <col min="5897" max="5897" width="5.19921875" style="61" customWidth="1"/>
    <col min="5898" max="5898" width="6.296875" style="61" customWidth="1"/>
    <col min="5899" max="5904" width="4.5" style="61" customWidth="1"/>
    <col min="5905" max="5905" width="10" style="61" customWidth="1"/>
    <col min="5906" max="5906" width="3.19921875" style="61" customWidth="1"/>
    <col min="5907" max="5907" width="13.69921875" style="61" customWidth="1"/>
    <col min="5908" max="5908" width="26.69921875" style="61" customWidth="1"/>
    <col min="5909" max="5912" width="13.69921875" style="61" customWidth="1"/>
    <col min="5913" max="5914" width="9" style="61"/>
    <col min="5915" max="5917" width="0" style="61" hidden="1" customWidth="1"/>
    <col min="5918" max="6144" width="9" style="61"/>
    <col min="6145" max="6145" width="2.5" style="61" customWidth="1"/>
    <col min="6146" max="6146" width="6" style="61" customWidth="1"/>
    <col min="6147" max="6147" width="5.69921875" style="61" customWidth="1"/>
    <col min="6148" max="6152" width="4.5" style="61" customWidth="1"/>
    <col min="6153" max="6153" width="5.19921875" style="61" customWidth="1"/>
    <col min="6154" max="6154" width="6.296875" style="61" customWidth="1"/>
    <col min="6155" max="6160" width="4.5" style="61" customWidth="1"/>
    <col min="6161" max="6161" width="10" style="61" customWidth="1"/>
    <col min="6162" max="6162" width="3.19921875" style="61" customWidth="1"/>
    <col min="6163" max="6163" width="13.69921875" style="61" customWidth="1"/>
    <col min="6164" max="6164" width="26.69921875" style="61" customWidth="1"/>
    <col min="6165" max="6168" width="13.69921875" style="61" customWidth="1"/>
    <col min="6169" max="6170" width="9" style="61"/>
    <col min="6171" max="6173" width="0" style="61" hidden="1" customWidth="1"/>
    <col min="6174" max="6400" width="9" style="61"/>
    <col min="6401" max="6401" width="2.5" style="61" customWidth="1"/>
    <col min="6402" max="6402" width="6" style="61" customWidth="1"/>
    <col min="6403" max="6403" width="5.69921875" style="61" customWidth="1"/>
    <col min="6404" max="6408" width="4.5" style="61" customWidth="1"/>
    <col min="6409" max="6409" width="5.19921875" style="61" customWidth="1"/>
    <col min="6410" max="6410" width="6.296875" style="61" customWidth="1"/>
    <col min="6411" max="6416" width="4.5" style="61" customWidth="1"/>
    <col min="6417" max="6417" width="10" style="61" customWidth="1"/>
    <col min="6418" max="6418" width="3.19921875" style="61" customWidth="1"/>
    <col min="6419" max="6419" width="13.69921875" style="61" customWidth="1"/>
    <col min="6420" max="6420" width="26.69921875" style="61" customWidth="1"/>
    <col min="6421" max="6424" width="13.69921875" style="61" customWidth="1"/>
    <col min="6425" max="6426" width="9" style="61"/>
    <col min="6427" max="6429" width="0" style="61" hidden="1" customWidth="1"/>
    <col min="6430" max="6656" width="9" style="61"/>
    <col min="6657" max="6657" width="2.5" style="61" customWidth="1"/>
    <col min="6658" max="6658" width="6" style="61" customWidth="1"/>
    <col min="6659" max="6659" width="5.69921875" style="61" customWidth="1"/>
    <col min="6660" max="6664" width="4.5" style="61" customWidth="1"/>
    <col min="6665" max="6665" width="5.19921875" style="61" customWidth="1"/>
    <col min="6666" max="6666" width="6.296875" style="61" customWidth="1"/>
    <col min="6667" max="6672" width="4.5" style="61" customWidth="1"/>
    <col min="6673" max="6673" width="10" style="61" customWidth="1"/>
    <col min="6674" max="6674" width="3.19921875" style="61" customWidth="1"/>
    <col min="6675" max="6675" width="13.69921875" style="61" customWidth="1"/>
    <col min="6676" max="6676" width="26.69921875" style="61" customWidth="1"/>
    <col min="6677" max="6680" width="13.69921875" style="61" customWidth="1"/>
    <col min="6681" max="6682" width="9" style="61"/>
    <col min="6683" max="6685" width="0" style="61" hidden="1" customWidth="1"/>
    <col min="6686" max="6912" width="9" style="61"/>
    <col min="6913" max="6913" width="2.5" style="61" customWidth="1"/>
    <col min="6914" max="6914" width="6" style="61" customWidth="1"/>
    <col min="6915" max="6915" width="5.69921875" style="61" customWidth="1"/>
    <col min="6916" max="6920" width="4.5" style="61" customWidth="1"/>
    <col min="6921" max="6921" width="5.19921875" style="61" customWidth="1"/>
    <col min="6922" max="6922" width="6.296875" style="61" customWidth="1"/>
    <col min="6923" max="6928" width="4.5" style="61" customWidth="1"/>
    <col min="6929" max="6929" width="10" style="61" customWidth="1"/>
    <col min="6930" max="6930" width="3.19921875" style="61" customWidth="1"/>
    <col min="6931" max="6931" width="13.69921875" style="61" customWidth="1"/>
    <col min="6932" max="6932" width="26.69921875" style="61" customWidth="1"/>
    <col min="6933" max="6936" width="13.69921875" style="61" customWidth="1"/>
    <col min="6937" max="6938" width="9" style="61"/>
    <col min="6939" max="6941" width="0" style="61" hidden="1" customWidth="1"/>
    <col min="6942" max="7168" width="9" style="61"/>
    <col min="7169" max="7169" width="2.5" style="61" customWidth="1"/>
    <col min="7170" max="7170" width="6" style="61" customWidth="1"/>
    <col min="7171" max="7171" width="5.69921875" style="61" customWidth="1"/>
    <col min="7172" max="7176" width="4.5" style="61" customWidth="1"/>
    <col min="7177" max="7177" width="5.19921875" style="61" customWidth="1"/>
    <col min="7178" max="7178" width="6.296875" style="61" customWidth="1"/>
    <col min="7179" max="7184" width="4.5" style="61" customWidth="1"/>
    <col min="7185" max="7185" width="10" style="61" customWidth="1"/>
    <col min="7186" max="7186" width="3.19921875" style="61" customWidth="1"/>
    <col min="7187" max="7187" width="13.69921875" style="61" customWidth="1"/>
    <col min="7188" max="7188" width="26.69921875" style="61" customWidth="1"/>
    <col min="7189" max="7192" width="13.69921875" style="61" customWidth="1"/>
    <col min="7193" max="7194" width="9" style="61"/>
    <col min="7195" max="7197" width="0" style="61" hidden="1" customWidth="1"/>
    <col min="7198" max="7424" width="9" style="61"/>
    <col min="7425" max="7425" width="2.5" style="61" customWidth="1"/>
    <col min="7426" max="7426" width="6" style="61" customWidth="1"/>
    <col min="7427" max="7427" width="5.69921875" style="61" customWidth="1"/>
    <col min="7428" max="7432" width="4.5" style="61" customWidth="1"/>
    <col min="7433" max="7433" width="5.19921875" style="61" customWidth="1"/>
    <col min="7434" max="7434" width="6.296875" style="61" customWidth="1"/>
    <col min="7435" max="7440" width="4.5" style="61" customWidth="1"/>
    <col min="7441" max="7441" width="10" style="61" customWidth="1"/>
    <col min="7442" max="7442" width="3.19921875" style="61" customWidth="1"/>
    <col min="7443" max="7443" width="13.69921875" style="61" customWidth="1"/>
    <col min="7444" max="7444" width="26.69921875" style="61" customWidth="1"/>
    <col min="7445" max="7448" width="13.69921875" style="61" customWidth="1"/>
    <col min="7449" max="7450" width="9" style="61"/>
    <col min="7451" max="7453" width="0" style="61" hidden="1" customWidth="1"/>
    <col min="7454" max="7680" width="9" style="61"/>
    <col min="7681" max="7681" width="2.5" style="61" customWidth="1"/>
    <col min="7682" max="7682" width="6" style="61" customWidth="1"/>
    <col min="7683" max="7683" width="5.69921875" style="61" customWidth="1"/>
    <col min="7684" max="7688" width="4.5" style="61" customWidth="1"/>
    <col min="7689" max="7689" width="5.19921875" style="61" customWidth="1"/>
    <col min="7690" max="7690" width="6.296875" style="61" customWidth="1"/>
    <col min="7691" max="7696" width="4.5" style="61" customWidth="1"/>
    <col min="7697" max="7697" width="10" style="61" customWidth="1"/>
    <col min="7698" max="7698" width="3.19921875" style="61" customWidth="1"/>
    <col min="7699" max="7699" width="13.69921875" style="61" customWidth="1"/>
    <col min="7700" max="7700" width="26.69921875" style="61" customWidth="1"/>
    <col min="7701" max="7704" width="13.69921875" style="61" customWidth="1"/>
    <col min="7705" max="7706" width="9" style="61"/>
    <col min="7707" max="7709" width="0" style="61" hidden="1" customWidth="1"/>
    <col min="7710" max="7936" width="9" style="61"/>
    <col min="7937" max="7937" width="2.5" style="61" customWidth="1"/>
    <col min="7938" max="7938" width="6" style="61" customWidth="1"/>
    <col min="7939" max="7939" width="5.69921875" style="61" customWidth="1"/>
    <col min="7940" max="7944" width="4.5" style="61" customWidth="1"/>
    <col min="7945" max="7945" width="5.19921875" style="61" customWidth="1"/>
    <col min="7946" max="7946" width="6.296875" style="61" customWidth="1"/>
    <col min="7947" max="7952" width="4.5" style="61" customWidth="1"/>
    <col min="7953" max="7953" width="10" style="61" customWidth="1"/>
    <col min="7954" max="7954" width="3.19921875" style="61" customWidth="1"/>
    <col min="7955" max="7955" width="13.69921875" style="61" customWidth="1"/>
    <col min="7956" max="7956" width="26.69921875" style="61" customWidth="1"/>
    <col min="7957" max="7960" width="13.69921875" style="61" customWidth="1"/>
    <col min="7961" max="7962" width="9" style="61"/>
    <col min="7963" max="7965" width="0" style="61" hidden="1" customWidth="1"/>
    <col min="7966" max="8192" width="9" style="61"/>
    <col min="8193" max="8193" width="2.5" style="61" customWidth="1"/>
    <col min="8194" max="8194" width="6" style="61" customWidth="1"/>
    <col min="8195" max="8195" width="5.69921875" style="61" customWidth="1"/>
    <col min="8196" max="8200" width="4.5" style="61" customWidth="1"/>
    <col min="8201" max="8201" width="5.19921875" style="61" customWidth="1"/>
    <col min="8202" max="8202" width="6.296875" style="61" customWidth="1"/>
    <col min="8203" max="8208" width="4.5" style="61" customWidth="1"/>
    <col min="8209" max="8209" width="10" style="61" customWidth="1"/>
    <col min="8210" max="8210" width="3.19921875" style="61" customWidth="1"/>
    <col min="8211" max="8211" width="13.69921875" style="61" customWidth="1"/>
    <col min="8212" max="8212" width="26.69921875" style="61" customWidth="1"/>
    <col min="8213" max="8216" width="13.69921875" style="61" customWidth="1"/>
    <col min="8217" max="8218" width="9" style="61"/>
    <col min="8219" max="8221" width="0" style="61" hidden="1" customWidth="1"/>
    <col min="8222" max="8448" width="9" style="61"/>
    <col min="8449" max="8449" width="2.5" style="61" customWidth="1"/>
    <col min="8450" max="8450" width="6" style="61" customWidth="1"/>
    <col min="8451" max="8451" width="5.69921875" style="61" customWidth="1"/>
    <col min="8452" max="8456" width="4.5" style="61" customWidth="1"/>
    <col min="8457" max="8457" width="5.19921875" style="61" customWidth="1"/>
    <col min="8458" max="8458" width="6.296875" style="61" customWidth="1"/>
    <col min="8459" max="8464" width="4.5" style="61" customWidth="1"/>
    <col min="8465" max="8465" width="10" style="61" customWidth="1"/>
    <col min="8466" max="8466" width="3.19921875" style="61" customWidth="1"/>
    <col min="8467" max="8467" width="13.69921875" style="61" customWidth="1"/>
    <col min="8468" max="8468" width="26.69921875" style="61" customWidth="1"/>
    <col min="8469" max="8472" width="13.69921875" style="61" customWidth="1"/>
    <col min="8473" max="8474" width="9" style="61"/>
    <col min="8475" max="8477" width="0" style="61" hidden="1" customWidth="1"/>
    <col min="8478" max="8704" width="9" style="61"/>
    <col min="8705" max="8705" width="2.5" style="61" customWidth="1"/>
    <col min="8706" max="8706" width="6" style="61" customWidth="1"/>
    <col min="8707" max="8707" width="5.69921875" style="61" customWidth="1"/>
    <col min="8708" max="8712" width="4.5" style="61" customWidth="1"/>
    <col min="8713" max="8713" width="5.19921875" style="61" customWidth="1"/>
    <col min="8714" max="8714" width="6.296875" style="61" customWidth="1"/>
    <col min="8715" max="8720" width="4.5" style="61" customWidth="1"/>
    <col min="8721" max="8721" width="10" style="61" customWidth="1"/>
    <col min="8722" max="8722" width="3.19921875" style="61" customWidth="1"/>
    <col min="8723" max="8723" width="13.69921875" style="61" customWidth="1"/>
    <col min="8724" max="8724" width="26.69921875" style="61" customWidth="1"/>
    <col min="8725" max="8728" width="13.69921875" style="61" customWidth="1"/>
    <col min="8729" max="8730" width="9" style="61"/>
    <col min="8731" max="8733" width="0" style="61" hidden="1" customWidth="1"/>
    <col min="8734" max="8960" width="9" style="61"/>
    <col min="8961" max="8961" width="2.5" style="61" customWidth="1"/>
    <col min="8962" max="8962" width="6" style="61" customWidth="1"/>
    <col min="8963" max="8963" width="5.69921875" style="61" customWidth="1"/>
    <col min="8964" max="8968" width="4.5" style="61" customWidth="1"/>
    <col min="8969" max="8969" width="5.19921875" style="61" customWidth="1"/>
    <col min="8970" max="8970" width="6.296875" style="61" customWidth="1"/>
    <col min="8971" max="8976" width="4.5" style="61" customWidth="1"/>
    <col min="8977" max="8977" width="10" style="61" customWidth="1"/>
    <col min="8978" max="8978" width="3.19921875" style="61" customWidth="1"/>
    <col min="8979" max="8979" width="13.69921875" style="61" customWidth="1"/>
    <col min="8980" max="8980" width="26.69921875" style="61" customWidth="1"/>
    <col min="8981" max="8984" width="13.69921875" style="61" customWidth="1"/>
    <col min="8985" max="8986" width="9" style="61"/>
    <col min="8987" max="8989" width="0" style="61" hidden="1" customWidth="1"/>
    <col min="8990" max="9216" width="9" style="61"/>
    <col min="9217" max="9217" width="2.5" style="61" customWidth="1"/>
    <col min="9218" max="9218" width="6" style="61" customWidth="1"/>
    <col min="9219" max="9219" width="5.69921875" style="61" customWidth="1"/>
    <col min="9220" max="9224" width="4.5" style="61" customWidth="1"/>
    <col min="9225" max="9225" width="5.19921875" style="61" customWidth="1"/>
    <col min="9226" max="9226" width="6.296875" style="61" customWidth="1"/>
    <col min="9227" max="9232" width="4.5" style="61" customWidth="1"/>
    <col min="9233" max="9233" width="10" style="61" customWidth="1"/>
    <col min="9234" max="9234" width="3.19921875" style="61" customWidth="1"/>
    <col min="9235" max="9235" width="13.69921875" style="61" customWidth="1"/>
    <col min="9236" max="9236" width="26.69921875" style="61" customWidth="1"/>
    <col min="9237" max="9240" width="13.69921875" style="61" customWidth="1"/>
    <col min="9241" max="9242" width="9" style="61"/>
    <col min="9243" max="9245" width="0" style="61" hidden="1" customWidth="1"/>
    <col min="9246" max="9472" width="9" style="61"/>
    <col min="9473" max="9473" width="2.5" style="61" customWidth="1"/>
    <col min="9474" max="9474" width="6" style="61" customWidth="1"/>
    <col min="9475" max="9475" width="5.69921875" style="61" customWidth="1"/>
    <col min="9476" max="9480" width="4.5" style="61" customWidth="1"/>
    <col min="9481" max="9481" width="5.19921875" style="61" customWidth="1"/>
    <col min="9482" max="9482" width="6.296875" style="61" customWidth="1"/>
    <col min="9483" max="9488" width="4.5" style="61" customWidth="1"/>
    <col min="9489" max="9489" width="10" style="61" customWidth="1"/>
    <col min="9490" max="9490" width="3.19921875" style="61" customWidth="1"/>
    <col min="9491" max="9491" width="13.69921875" style="61" customWidth="1"/>
    <col min="9492" max="9492" width="26.69921875" style="61" customWidth="1"/>
    <col min="9493" max="9496" width="13.69921875" style="61" customWidth="1"/>
    <col min="9497" max="9498" width="9" style="61"/>
    <col min="9499" max="9501" width="0" style="61" hidden="1" customWidth="1"/>
    <col min="9502" max="9728" width="9" style="61"/>
    <col min="9729" max="9729" width="2.5" style="61" customWidth="1"/>
    <col min="9730" max="9730" width="6" style="61" customWidth="1"/>
    <col min="9731" max="9731" width="5.69921875" style="61" customWidth="1"/>
    <col min="9732" max="9736" width="4.5" style="61" customWidth="1"/>
    <col min="9737" max="9737" width="5.19921875" style="61" customWidth="1"/>
    <col min="9738" max="9738" width="6.296875" style="61" customWidth="1"/>
    <col min="9739" max="9744" width="4.5" style="61" customWidth="1"/>
    <col min="9745" max="9745" width="10" style="61" customWidth="1"/>
    <col min="9746" max="9746" width="3.19921875" style="61" customWidth="1"/>
    <col min="9747" max="9747" width="13.69921875" style="61" customWidth="1"/>
    <col min="9748" max="9748" width="26.69921875" style="61" customWidth="1"/>
    <col min="9749" max="9752" width="13.69921875" style="61" customWidth="1"/>
    <col min="9753" max="9754" width="9" style="61"/>
    <col min="9755" max="9757" width="0" style="61" hidden="1" customWidth="1"/>
    <col min="9758" max="9984" width="9" style="61"/>
    <col min="9985" max="9985" width="2.5" style="61" customWidth="1"/>
    <col min="9986" max="9986" width="6" style="61" customWidth="1"/>
    <col min="9987" max="9987" width="5.69921875" style="61" customWidth="1"/>
    <col min="9988" max="9992" width="4.5" style="61" customWidth="1"/>
    <col min="9993" max="9993" width="5.19921875" style="61" customWidth="1"/>
    <col min="9994" max="9994" width="6.296875" style="61" customWidth="1"/>
    <col min="9995" max="10000" width="4.5" style="61" customWidth="1"/>
    <col min="10001" max="10001" width="10" style="61" customWidth="1"/>
    <col min="10002" max="10002" width="3.19921875" style="61" customWidth="1"/>
    <col min="10003" max="10003" width="13.69921875" style="61" customWidth="1"/>
    <col min="10004" max="10004" width="26.69921875" style="61" customWidth="1"/>
    <col min="10005" max="10008" width="13.69921875" style="61" customWidth="1"/>
    <col min="10009" max="10010" width="9" style="61"/>
    <col min="10011" max="10013" width="0" style="61" hidden="1" customWidth="1"/>
    <col min="10014" max="10240" width="9" style="61"/>
    <col min="10241" max="10241" width="2.5" style="61" customWidth="1"/>
    <col min="10242" max="10242" width="6" style="61" customWidth="1"/>
    <col min="10243" max="10243" width="5.69921875" style="61" customWidth="1"/>
    <col min="10244" max="10248" width="4.5" style="61" customWidth="1"/>
    <col min="10249" max="10249" width="5.19921875" style="61" customWidth="1"/>
    <col min="10250" max="10250" width="6.296875" style="61" customWidth="1"/>
    <col min="10251" max="10256" width="4.5" style="61" customWidth="1"/>
    <col min="10257" max="10257" width="10" style="61" customWidth="1"/>
    <col min="10258" max="10258" width="3.19921875" style="61" customWidth="1"/>
    <col min="10259" max="10259" width="13.69921875" style="61" customWidth="1"/>
    <col min="10260" max="10260" width="26.69921875" style="61" customWidth="1"/>
    <col min="10261" max="10264" width="13.69921875" style="61" customWidth="1"/>
    <col min="10265" max="10266" width="9" style="61"/>
    <col min="10267" max="10269" width="0" style="61" hidden="1" customWidth="1"/>
    <col min="10270" max="10496" width="9" style="61"/>
    <col min="10497" max="10497" width="2.5" style="61" customWidth="1"/>
    <col min="10498" max="10498" width="6" style="61" customWidth="1"/>
    <col min="10499" max="10499" width="5.69921875" style="61" customWidth="1"/>
    <col min="10500" max="10504" width="4.5" style="61" customWidth="1"/>
    <col min="10505" max="10505" width="5.19921875" style="61" customWidth="1"/>
    <col min="10506" max="10506" width="6.296875" style="61" customWidth="1"/>
    <col min="10507" max="10512" width="4.5" style="61" customWidth="1"/>
    <col min="10513" max="10513" width="10" style="61" customWidth="1"/>
    <col min="10514" max="10514" width="3.19921875" style="61" customWidth="1"/>
    <col min="10515" max="10515" width="13.69921875" style="61" customWidth="1"/>
    <col min="10516" max="10516" width="26.69921875" style="61" customWidth="1"/>
    <col min="10517" max="10520" width="13.69921875" style="61" customWidth="1"/>
    <col min="10521" max="10522" width="9" style="61"/>
    <col min="10523" max="10525" width="0" style="61" hidden="1" customWidth="1"/>
    <col min="10526" max="10752" width="9" style="61"/>
    <col min="10753" max="10753" width="2.5" style="61" customWidth="1"/>
    <col min="10754" max="10754" width="6" style="61" customWidth="1"/>
    <col min="10755" max="10755" width="5.69921875" style="61" customWidth="1"/>
    <col min="10756" max="10760" width="4.5" style="61" customWidth="1"/>
    <col min="10761" max="10761" width="5.19921875" style="61" customWidth="1"/>
    <col min="10762" max="10762" width="6.296875" style="61" customWidth="1"/>
    <col min="10763" max="10768" width="4.5" style="61" customWidth="1"/>
    <col min="10769" max="10769" width="10" style="61" customWidth="1"/>
    <col min="10770" max="10770" width="3.19921875" style="61" customWidth="1"/>
    <col min="10771" max="10771" width="13.69921875" style="61" customWidth="1"/>
    <col min="10772" max="10772" width="26.69921875" style="61" customWidth="1"/>
    <col min="10773" max="10776" width="13.69921875" style="61" customWidth="1"/>
    <col min="10777" max="10778" width="9" style="61"/>
    <col min="10779" max="10781" width="0" style="61" hidden="1" customWidth="1"/>
    <col min="10782" max="11008" width="9" style="61"/>
    <col min="11009" max="11009" width="2.5" style="61" customWidth="1"/>
    <col min="11010" max="11010" width="6" style="61" customWidth="1"/>
    <col min="11011" max="11011" width="5.69921875" style="61" customWidth="1"/>
    <col min="11012" max="11016" width="4.5" style="61" customWidth="1"/>
    <col min="11017" max="11017" width="5.19921875" style="61" customWidth="1"/>
    <col min="11018" max="11018" width="6.296875" style="61" customWidth="1"/>
    <col min="11019" max="11024" width="4.5" style="61" customWidth="1"/>
    <col min="11025" max="11025" width="10" style="61" customWidth="1"/>
    <col min="11026" max="11026" width="3.19921875" style="61" customWidth="1"/>
    <col min="11027" max="11027" width="13.69921875" style="61" customWidth="1"/>
    <col min="11028" max="11028" width="26.69921875" style="61" customWidth="1"/>
    <col min="11029" max="11032" width="13.69921875" style="61" customWidth="1"/>
    <col min="11033" max="11034" width="9" style="61"/>
    <col min="11035" max="11037" width="0" style="61" hidden="1" customWidth="1"/>
    <col min="11038" max="11264" width="9" style="61"/>
    <col min="11265" max="11265" width="2.5" style="61" customWidth="1"/>
    <col min="11266" max="11266" width="6" style="61" customWidth="1"/>
    <col min="11267" max="11267" width="5.69921875" style="61" customWidth="1"/>
    <col min="11268" max="11272" width="4.5" style="61" customWidth="1"/>
    <col min="11273" max="11273" width="5.19921875" style="61" customWidth="1"/>
    <col min="11274" max="11274" width="6.296875" style="61" customWidth="1"/>
    <col min="11275" max="11280" width="4.5" style="61" customWidth="1"/>
    <col min="11281" max="11281" width="10" style="61" customWidth="1"/>
    <col min="11282" max="11282" width="3.19921875" style="61" customWidth="1"/>
    <col min="11283" max="11283" width="13.69921875" style="61" customWidth="1"/>
    <col min="11284" max="11284" width="26.69921875" style="61" customWidth="1"/>
    <col min="11285" max="11288" width="13.69921875" style="61" customWidth="1"/>
    <col min="11289" max="11290" width="9" style="61"/>
    <col min="11291" max="11293" width="0" style="61" hidden="1" customWidth="1"/>
    <col min="11294" max="11520" width="9" style="61"/>
    <col min="11521" max="11521" width="2.5" style="61" customWidth="1"/>
    <col min="11522" max="11522" width="6" style="61" customWidth="1"/>
    <col min="11523" max="11523" width="5.69921875" style="61" customWidth="1"/>
    <col min="11524" max="11528" width="4.5" style="61" customWidth="1"/>
    <col min="11529" max="11529" width="5.19921875" style="61" customWidth="1"/>
    <col min="11530" max="11530" width="6.296875" style="61" customWidth="1"/>
    <col min="11531" max="11536" width="4.5" style="61" customWidth="1"/>
    <col min="11537" max="11537" width="10" style="61" customWidth="1"/>
    <col min="11538" max="11538" width="3.19921875" style="61" customWidth="1"/>
    <col min="11539" max="11539" width="13.69921875" style="61" customWidth="1"/>
    <col min="11540" max="11540" width="26.69921875" style="61" customWidth="1"/>
    <col min="11541" max="11544" width="13.69921875" style="61" customWidth="1"/>
    <col min="11545" max="11546" width="9" style="61"/>
    <col min="11547" max="11549" width="0" style="61" hidden="1" customWidth="1"/>
    <col min="11550" max="11776" width="9" style="61"/>
    <col min="11777" max="11777" width="2.5" style="61" customWidth="1"/>
    <col min="11778" max="11778" width="6" style="61" customWidth="1"/>
    <col min="11779" max="11779" width="5.69921875" style="61" customWidth="1"/>
    <col min="11780" max="11784" width="4.5" style="61" customWidth="1"/>
    <col min="11785" max="11785" width="5.19921875" style="61" customWidth="1"/>
    <col min="11786" max="11786" width="6.296875" style="61" customWidth="1"/>
    <col min="11787" max="11792" width="4.5" style="61" customWidth="1"/>
    <col min="11793" max="11793" width="10" style="61" customWidth="1"/>
    <col min="11794" max="11794" width="3.19921875" style="61" customWidth="1"/>
    <col min="11795" max="11795" width="13.69921875" style="61" customWidth="1"/>
    <col min="11796" max="11796" width="26.69921875" style="61" customWidth="1"/>
    <col min="11797" max="11800" width="13.69921875" style="61" customWidth="1"/>
    <col min="11801" max="11802" width="9" style="61"/>
    <col min="11803" max="11805" width="0" style="61" hidden="1" customWidth="1"/>
    <col min="11806" max="12032" width="9" style="61"/>
    <col min="12033" max="12033" width="2.5" style="61" customWidth="1"/>
    <col min="12034" max="12034" width="6" style="61" customWidth="1"/>
    <col min="12035" max="12035" width="5.69921875" style="61" customWidth="1"/>
    <col min="12036" max="12040" width="4.5" style="61" customWidth="1"/>
    <col min="12041" max="12041" width="5.19921875" style="61" customWidth="1"/>
    <col min="12042" max="12042" width="6.296875" style="61" customWidth="1"/>
    <col min="12043" max="12048" width="4.5" style="61" customWidth="1"/>
    <col min="12049" max="12049" width="10" style="61" customWidth="1"/>
    <col min="12050" max="12050" width="3.19921875" style="61" customWidth="1"/>
    <col min="12051" max="12051" width="13.69921875" style="61" customWidth="1"/>
    <col min="12052" max="12052" width="26.69921875" style="61" customWidth="1"/>
    <col min="12053" max="12056" width="13.69921875" style="61" customWidth="1"/>
    <col min="12057" max="12058" width="9" style="61"/>
    <col min="12059" max="12061" width="0" style="61" hidden="1" customWidth="1"/>
    <col min="12062" max="12288" width="9" style="61"/>
    <col min="12289" max="12289" width="2.5" style="61" customWidth="1"/>
    <col min="12290" max="12290" width="6" style="61" customWidth="1"/>
    <col min="12291" max="12291" width="5.69921875" style="61" customWidth="1"/>
    <col min="12292" max="12296" width="4.5" style="61" customWidth="1"/>
    <col min="12297" max="12297" width="5.19921875" style="61" customWidth="1"/>
    <col min="12298" max="12298" width="6.296875" style="61" customWidth="1"/>
    <col min="12299" max="12304" width="4.5" style="61" customWidth="1"/>
    <col min="12305" max="12305" width="10" style="61" customWidth="1"/>
    <col min="12306" max="12306" width="3.19921875" style="61" customWidth="1"/>
    <col min="12307" max="12307" width="13.69921875" style="61" customWidth="1"/>
    <col min="12308" max="12308" width="26.69921875" style="61" customWidth="1"/>
    <col min="12309" max="12312" width="13.69921875" style="61" customWidth="1"/>
    <col min="12313" max="12314" width="9" style="61"/>
    <col min="12315" max="12317" width="0" style="61" hidden="1" customWidth="1"/>
    <col min="12318" max="12544" width="9" style="61"/>
    <col min="12545" max="12545" width="2.5" style="61" customWidth="1"/>
    <col min="12546" max="12546" width="6" style="61" customWidth="1"/>
    <col min="12547" max="12547" width="5.69921875" style="61" customWidth="1"/>
    <col min="12548" max="12552" width="4.5" style="61" customWidth="1"/>
    <col min="12553" max="12553" width="5.19921875" style="61" customWidth="1"/>
    <col min="12554" max="12554" width="6.296875" style="61" customWidth="1"/>
    <col min="12555" max="12560" width="4.5" style="61" customWidth="1"/>
    <col min="12561" max="12561" width="10" style="61" customWidth="1"/>
    <col min="12562" max="12562" width="3.19921875" style="61" customWidth="1"/>
    <col min="12563" max="12563" width="13.69921875" style="61" customWidth="1"/>
    <col min="12564" max="12564" width="26.69921875" style="61" customWidth="1"/>
    <col min="12565" max="12568" width="13.69921875" style="61" customWidth="1"/>
    <col min="12569" max="12570" width="9" style="61"/>
    <col min="12571" max="12573" width="0" style="61" hidden="1" customWidth="1"/>
    <col min="12574" max="12800" width="9" style="61"/>
    <col min="12801" max="12801" width="2.5" style="61" customWidth="1"/>
    <col min="12802" max="12802" width="6" style="61" customWidth="1"/>
    <col min="12803" max="12803" width="5.69921875" style="61" customWidth="1"/>
    <col min="12804" max="12808" width="4.5" style="61" customWidth="1"/>
    <col min="12809" max="12809" width="5.19921875" style="61" customWidth="1"/>
    <col min="12810" max="12810" width="6.296875" style="61" customWidth="1"/>
    <col min="12811" max="12816" width="4.5" style="61" customWidth="1"/>
    <col min="12817" max="12817" width="10" style="61" customWidth="1"/>
    <col min="12818" max="12818" width="3.19921875" style="61" customWidth="1"/>
    <col min="12819" max="12819" width="13.69921875" style="61" customWidth="1"/>
    <col min="12820" max="12820" width="26.69921875" style="61" customWidth="1"/>
    <col min="12821" max="12824" width="13.69921875" style="61" customWidth="1"/>
    <col min="12825" max="12826" width="9" style="61"/>
    <col min="12827" max="12829" width="0" style="61" hidden="1" customWidth="1"/>
    <col min="12830" max="13056" width="9" style="61"/>
    <col min="13057" max="13057" width="2.5" style="61" customWidth="1"/>
    <col min="13058" max="13058" width="6" style="61" customWidth="1"/>
    <col min="13059" max="13059" width="5.69921875" style="61" customWidth="1"/>
    <col min="13060" max="13064" width="4.5" style="61" customWidth="1"/>
    <col min="13065" max="13065" width="5.19921875" style="61" customWidth="1"/>
    <col min="13066" max="13066" width="6.296875" style="61" customWidth="1"/>
    <col min="13067" max="13072" width="4.5" style="61" customWidth="1"/>
    <col min="13073" max="13073" width="10" style="61" customWidth="1"/>
    <col min="13074" max="13074" width="3.19921875" style="61" customWidth="1"/>
    <col min="13075" max="13075" width="13.69921875" style="61" customWidth="1"/>
    <col min="13076" max="13076" width="26.69921875" style="61" customWidth="1"/>
    <col min="13077" max="13080" width="13.69921875" style="61" customWidth="1"/>
    <col min="13081" max="13082" width="9" style="61"/>
    <col min="13083" max="13085" width="0" style="61" hidden="1" customWidth="1"/>
    <col min="13086" max="13312" width="9" style="61"/>
    <col min="13313" max="13313" width="2.5" style="61" customWidth="1"/>
    <col min="13314" max="13314" width="6" style="61" customWidth="1"/>
    <col min="13315" max="13315" width="5.69921875" style="61" customWidth="1"/>
    <col min="13316" max="13320" width="4.5" style="61" customWidth="1"/>
    <col min="13321" max="13321" width="5.19921875" style="61" customWidth="1"/>
    <col min="13322" max="13322" width="6.296875" style="61" customWidth="1"/>
    <col min="13323" max="13328" width="4.5" style="61" customWidth="1"/>
    <col min="13329" max="13329" width="10" style="61" customWidth="1"/>
    <col min="13330" max="13330" width="3.19921875" style="61" customWidth="1"/>
    <col min="13331" max="13331" width="13.69921875" style="61" customWidth="1"/>
    <col min="13332" max="13332" width="26.69921875" style="61" customWidth="1"/>
    <col min="13333" max="13336" width="13.69921875" style="61" customWidth="1"/>
    <col min="13337" max="13338" width="9" style="61"/>
    <col min="13339" max="13341" width="0" style="61" hidden="1" customWidth="1"/>
    <col min="13342" max="13568" width="9" style="61"/>
    <col min="13569" max="13569" width="2.5" style="61" customWidth="1"/>
    <col min="13570" max="13570" width="6" style="61" customWidth="1"/>
    <col min="13571" max="13571" width="5.69921875" style="61" customWidth="1"/>
    <col min="13572" max="13576" width="4.5" style="61" customWidth="1"/>
    <col min="13577" max="13577" width="5.19921875" style="61" customWidth="1"/>
    <col min="13578" max="13578" width="6.296875" style="61" customWidth="1"/>
    <col min="13579" max="13584" width="4.5" style="61" customWidth="1"/>
    <col min="13585" max="13585" width="10" style="61" customWidth="1"/>
    <col min="13586" max="13586" width="3.19921875" style="61" customWidth="1"/>
    <col min="13587" max="13587" width="13.69921875" style="61" customWidth="1"/>
    <col min="13588" max="13588" width="26.69921875" style="61" customWidth="1"/>
    <col min="13589" max="13592" width="13.69921875" style="61" customWidth="1"/>
    <col min="13593" max="13594" width="9" style="61"/>
    <col min="13595" max="13597" width="0" style="61" hidden="1" customWidth="1"/>
    <col min="13598" max="13824" width="9" style="61"/>
    <col min="13825" max="13825" width="2.5" style="61" customWidth="1"/>
    <col min="13826" max="13826" width="6" style="61" customWidth="1"/>
    <col min="13827" max="13827" width="5.69921875" style="61" customWidth="1"/>
    <col min="13828" max="13832" width="4.5" style="61" customWidth="1"/>
    <col min="13833" max="13833" width="5.19921875" style="61" customWidth="1"/>
    <col min="13834" max="13834" width="6.296875" style="61" customWidth="1"/>
    <col min="13835" max="13840" width="4.5" style="61" customWidth="1"/>
    <col min="13841" max="13841" width="10" style="61" customWidth="1"/>
    <col min="13842" max="13842" width="3.19921875" style="61" customWidth="1"/>
    <col min="13843" max="13843" width="13.69921875" style="61" customWidth="1"/>
    <col min="13844" max="13844" width="26.69921875" style="61" customWidth="1"/>
    <col min="13845" max="13848" width="13.69921875" style="61" customWidth="1"/>
    <col min="13849" max="13850" width="9" style="61"/>
    <col min="13851" max="13853" width="0" style="61" hidden="1" customWidth="1"/>
    <col min="13854" max="14080" width="9" style="61"/>
    <col min="14081" max="14081" width="2.5" style="61" customWidth="1"/>
    <col min="14082" max="14082" width="6" style="61" customWidth="1"/>
    <col min="14083" max="14083" width="5.69921875" style="61" customWidth="1"/>
    <col min="14084" max="14088" width="4.5" style="61" customWidth="1"/>
    <col min="14089" max="14089" width="5.19921875" style="61" customWidth="1"/>
    <col min="14090" max="14090" width="6.296875" style="61" customWidth="1"/>
    <col min="14091" max="14096" width="4.5" style="61" customWidth="1"/>
    <col min="14097" max="14097" width="10" style="61" customWidth="1"/>
    <col min="14098" max="14098" width="3.19921875" style="61" customWidth="1"/>
    <col min="14099" max="14099" width="13.69921875" style="61" customWidth="1"/>
    <col min="14100" max="14100" width="26.69921875" style="61" customWidth="1"/>
    <col min="14101" max="14104" width="13.69921875" style="61" customWidth="1"/>
    <col min="14105" max="14106" width="9" style="61"/>
    <col min="14107" max="14109" width="0" style="61" hidden="1" customWidth="1"/>
    <col min="14110" max="14336" width="9" style="61"/>
    <col min="14337" max="14337" width="2.5" style="61" customWidth="1"/>
    <col min="14338" max="14338" width="6" style="61" customWidth="1"/>
    <col min="14339" max="14339" width="5.69921875" style="61" customWidth="1"/>
    <col min="14340" max="14344" width="4.5" style="61" customWidth="1"/>
    <col min="14345" max="14345" width="5.19921875" style="61" customWidth="1"/>
    <col min="14346" max="14346" width="6.296875" style="61" customWidth="1"/>
    <col min="14347" max="14352" width="4.5" style="61" customWidth="1"/>
    <col min="14353" max="14353" width="10" style="61" customWidth="1"/>
    <col min="14354" max="14354" width="3.19921875" style="61" customWidth="1"/>
    <col min="14355" max="14355" width="13.69921875" style="61" customWidth="1"/>
    <col min="14356" max="14356" width="26.69921875" style="61" customWidth="1"/>
    <col min="14357" max="14360" width="13.69921875" style="61" customWidth="1"/>
    <col min="14361" max="14362" width="9" style="61"/>
    <col min="14363" max="14365" width="0" style="61" hidden="1" customWidth="1"/>
    <col min="14366" max="14592" width="9" style="61"/>
    <col min="14593" max="14593" width="2.5" style="61" customWidth="1"/>
    <col min="14594" max="14594" width="6" style="61" customWidth="1"/>
    <col min="14595" max="14595" width="5.69921875" style="61" customWidth="1"/>
    <col min="14596" max="14600" width="4.5" style="61" customWidth="1"/>
    <col min="14601" max="14601" width="5.19921875" style="61" customWidth="1"/>
    <col min="14602" max="14602" width="6.296875" style="61" customWidth="1"/>
    <col min="14603" max="14608" width="4.5" style="61" customWidth="1"/>
    <col min="14609" max="14609" width="10" style="61" customWidth="1"/>
    <col min="14610" max="14610" width="3.19921875" style="61" customWidth="1"/>
    <col min="14611" max="14611" width="13.69921875" style="61" customWidth="1"/>
    <col min="14612" max="14612" width="26.69921875" style="61" customWidth="1"/>
    <col min="14613" max="14616" width="13.69921875" style="61" customWidth="1"/>
    <col min="14617" max="14618" width="9" style="61"/>
    <col min="14619" max="14621" width="0" style="61" hidden="1" customWidth="1"/>
    <col min="14622" max="14848" width="9" style="61"/>
    <col min="14849" max="14849" width="2.5" style="61" customWidth="1"/>
    <col min="14850" max="14850" width="6" style="61" customWidth="1"/>
    <col min="14851" max="14851" width="5.69921875" style="61" customWidth="1"/>
    <col min="14852" max="14856" width="4.5" style="61" customWidth="1"/>
    <col min="14857" max="14857" width="5.19921875" style="61" customWidth="1"/>
    <col min="14858" max="14858" width="6.296875" style="61" customWidth="1"/>
    <col min="14859" max="14864" width="4.5" style="61" customWidth="1"/>
    <col min="14865" max="14865" width="10" style="61" customWidth="1"/>
    <col min="14866" max="14866" width="3.19921875" style="61" customWidth="1"/>
    <col min="14867" max="14867" width="13.69921875" style="61" customWidth="1"/>
    <col min="14868" max="14868" width="26.69921875" style="61" customWidth="1"/>
    <col min="14869" max="14872" width="13.69921875" style="61" customWidth="1"/>
    <col min="14873" max="14874" width="9" style="61"/>
    <col min="14875" max="14877" width="0" style="61" hidden="1" customWidth="1"/>
    <col min="14878" max="15104" width="9" style="61"/>
    <col min="15105" max="15105" width="2.5" style="61" customWidth="1"/>
    <col min="15106" max="15106" width="6" style="61" customWidth="1"/>
    <col min="15107" max="15107" width="5.69921875" style="61" customWidth="1"/>
    <col min="15108" max="15112" width="4.5" style="61" customWidth="1"/>
    <col min="15113" max="15113" width="5.19921875" style="61" customWidth="1"/>
    <col min="15114" max="15114" width="6.296875" style="61" customWidth="1"/>
    <col min="15115" max="15120" width="4.5" style="61" customWidth="1"/>
    <col min="15121" max="15121" width="10" style="61" customWidth="1"/>
    <col min="15122" max="15122" width="3.19921875" style="61" customWidth="1"/>
    <col min="15123" max="15123" width="13.69921875" style="61" customWidth="1"/>
    <col min="15124" max="15124" width="26.69921875" style="61" customWidth="1"/>
    <col min="15125" max="15128" width="13.69921875" style="61" customWidth="1"/>
    <col min="15129" max="15130" width="9" style="61"/>
    <col min="15131" max="15133" width="0" style="61" hidden="1" customWidth="1"/>
    <col min="15134" max="15360" width="9" style="61"/>
    <col min="15361" max="15361" width="2.5" style="61" customWidth="1"/>
    <col min="15362" max="15362" width="6" style="61" customWidth="1"/>
    <col min="15363" max="15363" width="5.69921875" style="61" customWidth="1"/>
    <col min="15364" max="15368" width="4.5" style="61" customWidth="1"/>
    <col min="15369" max="15369" width="5.19921875" style="61" customWidth="1"/>
    <col min="15370" max="15370" width="6.296875" style="61" customWidth="1"/>
    <col min="15371" max="15376" width="4.5" style="61" customWidth="1"/>
    <col min="15377" max="15377" width="10" style="61" customWidth="1"/>
    <col min="15378" max="15378" width="3.19921875" style="61" customWidth="1"/>
    <col min="15379" max="15379" width="13.69921875" style="61" customWidth="1"/>
    <col min="15380" max="15380" width="26.69921875" style="61" customWidth="1"/>
    <col min="15381" max="15384" width="13.69921875" style="61" customWidth="1"/>
    <col min="15385" max="15386" width="9" style="61"/>
    <col min="15387" max="15389" width="0" style="61" hidden="1" customWidth="1"/>
    <col min="15390" max="15616" width="9" style="61"/>
    <col min="15617" max="15617" width="2.5" style="61" customWidth="1"/>
    <col min="15618" max="15618" width="6" style="61" customWidth="1"/>
    <col min="15619" max="15619" width="5.69921875" style="61" customWidth="1"/>
    <col min="15620" max="15624" width="4.5" style="61" customWidth="1"/>
    <col min="15625" max="15625" width="5.19921875" style="61" customWidth="1"/>
    <col min="15626" max="15626" width="6.296875" style="61" customWidth="1"/>
    <col min="15627" max="15632" width="4.5" style="61" customWidth="1"/>
    <col min="15633" max="15633" width="10" style="61" customWidth="1"/>
    <col min="15634" max="15634" width="3.19921875" style="61" customWidth="1"/>
    <col min="15635" max="15635" width="13.69921875" style="61" customWidth="1"/>
    <col min="15636" max="15636" width="26.69921875" style="61" customWidth="1"/>
    <col min="15637" max="15640" width="13.69921875" style="61" customWidth="1"/>
    <col min="15641" max="15642" width="9" style="61"/>
    <col min="15643" max="15645" width="0" style="61" hidden="1" customWidth="1"/>
    <col min="15646" max="15872" width="9" style="61"/>
    <col min="15873" max="15873" width="2.5" style="61" customWidth="1"/>
    <col min="15874" max="15874" width="6" style="61" customWidth="1"/>
    <col min="15875" max="15875" width="5.69921875" style="61" customWidth="1"/>
    <col min="15876" max="15880" width="4.5" style="61" customWidth="1"/>
    <col min="15881" max="15881" width="5.19921875" style="61" customWidth="1"/>
    <col min="15882" max="15882" width="6.296875" style="61" customWidth="1"/>
    <col min="15883" max="15888" width="4.5" style="61" customWidth="1"/>
    <col min="15889" max="15889" width="10" style="61" customWidth="1"/>
    <col min="15890" max="15890" width="3.19921875" style="61" customWidth="1"/>
    <col min="15891" max="15891" width="13.69921875" style="61" customWidth="1"/>
    <col min="15892" max="15892" width="26.69921875" style="61" customWidth="1"/>
    <col min="15893" max="15896" width="13.69921875" style="61" customWidth="1"/>
    <col min="15897" max="15898" width="9" style="61"/>
    <col min="15899" max="15901" width="0" style="61" hidden="1" customWidth="1"/>
    <col min="15902" max="16128" width="9" style="61"/>
    <col min="16129" max="16129" width="2.5" style="61" customWidth="1"/>
    <col min="16130" max="16130" width="6" style="61" customWidth="1"/>
    <col min="16131" max="16131" width="5.69921875" style="61" customWidth="1"/>
    <col min="16132" max="16136" width="4.5" style="61" customWidth="1"/>
    <col min="16137" max="16137" width="5.19921875" style="61" customWidth="1"/>
    <col min="16138" max="16138" width="6.296875" style="61" customWidth="1"/>
    <col min="16139" max="16144" width="4.5" style="61" customWidth="1"/>
    <col min="16145" max="16145" width="10" style="61" customWidth="1"/>
    <col min="16146" max="16146" width="3.19921875" style="61" customWidth="1"/>
    <col min="16147" max="16147" width="13.69921875" style="61" customWidth="1"/>
    <col min="16148" max="16148" width="26.69921875" style="61" customWidth="1"/>
    <col min="16149" max="16152" width="13.69921875" style="61" customWidth="1"/>
    <col min="16153" max="16154" width="9" style="61"/>
    <col min="16155" max="16157" width="0" style="61" hidden="1" customWidth="1"/>
    <col min="16158" max="16384" width="9" style="61"/>
  </cols>
  <sheetData>
    <row r="1" spans="1:29" s="66" customFormat="1" ht="15" customHeight="1">
      <c r="B1" s="184"/>
      <c r="Q1" s="184"/>
      <c r="T1" s="65" t="s">
        <v>392</v>
      </c>
    </row>
    <row r="2" spans="1:29" s="74" customFormat="1" ht="15" customHeight="1">
      <c r="A2" s="75" t="s">
        <v>393</v>
      </c>
      <c r="B2" s="73"/>
      <c r="C2" s="65"/>
      <c r="D2" s="65"/>
      <c r="E2" s="65"/>
      <c r="F2" s="65"/>
      <c r="G2" s="65"/>
      <c r="H2" s="65"/>
      <c r="I2" s="65"/>
      <c r="J2" s="65"/>
      <c r="K2" s="65"/>
      <c r="L2" s="65"/>
      <c r="M2" s="65"/>
      <c r="N2" s="65"/>
      <c r="O2" s="158" t="str">
        <f>'SP11-1'!$L$2</f>
        <v>Spreadsheet released 14-Apr-2023</v>
      </c>
      <c r="P2" s="65"/>
      <c r="Q2" s="65"/>
      <c r="R2" s="65"/>
      <c r="T2" s="159" t="s">
        <v>394</v>
      </c>
      <c r="U2" s="65"/>
      <c r="V2" s="65"/>
      <c r="W2" s="65"/>
      <c r="X2" s="65"/>
      <c r="Y2" s="65"/>
    </row>
    <row r="3" spans="1:29" s="66" customFormat="1" ht="15" customHeight="1">
      <c r="A3" s="73" t="s">
        <v>536</v>
      </c>
      <c r="B3" s="73"/>
      <c r="C3" s="65"/>
      <c r="D3" s="65"/>
      <c r="E3" s="65"/>
      <c r="F3" s="65"/>
      <c r="G3" s="65"/>
      <c r="H3" s="65"/>
      <c r="I3" s="65"/>
      <c r="J3" s="65"/>
      <c r="K3" s="65"/>
      <c r="L3" s="65"/>
      <c r="M3" s="65"/>
      <c r="N3" s="65"/>
      <c r="O3" s="65"/>
      <c r="P3" s="65"/>
      <c r="Q3" s="70"/>
      <c r="R3" s="65"/>
      <c r="S3" s="65"/>
      <c r="T3" s="65"/>
      <c r="U3" s="65"/>
      <c r="V3" s="65"/>
      <c r="W3" s="65"/>
      <c r="X3" s="65"/>
      <c r="Y3" s="65"/>
    </row>
    <row r="4" spans="1:29" s="74" customFormat="1" ht="15" customHeight="1">
      <c r="A4" s="75"/>
      <c r="B4" s="657" t="s">
        <v>537</v>
      </c>
      <c r="C4" s="658"/>
      <c r="D4" s="658"/>
      <c r="E4" s="658"/>
      <c r="F4" s="658"/>
      <c r="G4" s="658"/>
      <c r="H4" s="658"/>
      <c r="I4" s="658"/>
      <c r="J4" s="658"/>
      <c r="K4" s="658"/>
      <c r="L4" s="658"/>
      <c r="M4" s="658"/>
      <c r="N4" s="658"/>
      <c r="O4" s="658"/>
      <c r="P4" s="658"/>
      <c r="Q4" s="658"/>
      <c r="R4" s="659"/>
      <c r="S4" s="65"/>
      <c r="T4" s="65"/>
      <c r="U4" s="65"/>
      <c r="V4" s="65"/>
      <c r="W4" s="65"/>
      <c r="X4" s="65"/>
      <c r="Y4" s="65"/>
    </row>
    <row r="5" spans="1:29" s="66" customFormat="1" ht="11.25" customHeight="1">
      <c r="A5" s="70"/>
      <c r="B5" s="70"/>
      <c r="C5" s="65"/>
      <c r="D5" s="65"/>
      <c r="E5" s="65"/>
      <c r="F5" s="65"/>
      <c r="G5" s="65"/>
      <c r="H5" s="65"/>
      <c r="I5" s="65"/>
      <c r="J5" s="65"/>
      <c r="K5" s="65"/>
      <c r="L5" s="65"/>
      <c r="M5" s="65"/>
      <c r="N5" s="65"/>
      <c r="O5" s="65"/>
      <c r="P5" s="65"/>
      <c r="Q5" s="70"/>
      <c r="R5" s="65"/>
      <c r="S5" s="65"/>
      <c r="T5" s="65"/>
      <c r="U5" s="65"/>
      <c r="V5" s="65"/>
      <c r="W5" s="65"/>
      <c r="X5" s="65"/>
      <c r="Y5" s="65"/>
    </row>
    <row r="6" spans="1:29" s="66" customFormat="1" ht="4.5" customHeight="1">
      <c r="A6" s="271"/>
      <c r="B6" s="271"/>
      <c r="C6" s="274"/>
      <c r="D6" s="274"/>
      <c r="E6" s="274"/>
      <c r="F6" s="274"/>
      <c r="G6" s="274"/>
      <c r="H6" s="274"/>
      <c r="I6" s="274"/>
      <c r="J6" s="274"/>
      <c r="K6" s="274"/>
      <c r="L6" s="274"/>
      <c r="M6" s="274"/>
      <c r="N6" s="274"/>
      <c r="O6" s="274"/>
      <c r="P6" s="274"/>
      <c r="Q6" s="274"/>
      <c r="R6" s="274"/>
      <c r="S6" s="65"/>
      <c r="T6" s="65"/>
      <c r="U6" s="65"/>
      <c r="V6" s="65"/>
      <c r="W6" s="65"/>
      <c r="X6" s="65"/>
      <c r="Y6" s="65"/>
    </row>
    <row r="7" spans="1:29" s="66" customFormat="1" ht="19.5" customHeight="1">
      <c r="A7" s="273">
        <v>1</v>
      </c>
      <c r="B7" s="597" t="s">
        <v>538</v>
      </c>
      <c r="C7" s="597"/>
      <c r="D7" s="597"/>
      <c r="E7" s="597"/>
      <c r="F7" s="597"/>
      <c r="G7" s="274"/>
      <c r="H7" s="274"/>
      <c r="I7" s="274"/>
      <c r="J7" s="274"/>
      <c r="K7" s="274"/>
      <c r="L7" s="274"/>
      <c r="M7" s="274"/>
      <c r="N7" s="619"/>
      <c r="O7" s="619"/>
      <c r="P7" s="619"/>
      <c r="Q7" s="619"/>
      <c r="R7" s="271"/>
      <c r="S7" s="65"/>
      <c r="T7" s="65"/>
      <c r="U7" s="65"/>
      <c r="V7" s="65"/>
      <c r="W7" s="65"/>
      <c r="X7" s="65"/>
      <c r="Y7" s="65"/>
    </row>
    <row r="8" spans="1:29" s="161" customFormat="1" ht="5.25" customHeight="1" thickBot="1">
      <c r="A8" s="346"/>
      <c r="B8" s="339"/>
      <c r="C8" s="339"/>
      <c r="D8" s="339"/>
      <c r="E8" s="339"/>
      <c r="F8" s="347"/>
      <c r="G8" s="722"/>
      <c r="H8" s="722"/>
      <c r="I8" s="722"/>
      <c r="J8" s="722"/>
      <c r="K8" s="339"/>
      <c r="L8" s="339"/>
      <c r="M8" s="347"/>
      <c r="N8" s="339"/>
      <c r="O8" s="339"/>
      <c r="P8" s="339"/>
      <c r="Q8" s="339"/>
      <c r="R8" s="348"/>
      <c r="S8" s="160"/>
      <c r="T8" s="160"/>
      <c r="U8" s="160"/>
      <c r="V8" s="160"/>
      <c r="W8" s="160"/>
      <c r="X8" s="160"/>
      <c r="Y8" s="160"/>
    </row>
    <row r="9" spans="1:29" s="66" customFormat="1" ht="19.5" customHeight="1" thickTop="1">
      <c r="A9" s="273">
        <v>2</v>
      </c>
      <c r="B9" s="607" t="s">
        <v>539</v>
      </c>
      <c r="C9" s="607"/>
      <c r="D9" s="607"/>
      <c r="E9" s="274"/>
      <c r="F9" s="274"/>
      <c r="G9" s="274"/>
      <c r="H9" s="274"/>
      <c r="I9" s="274"/>
      <c r="J9" s="274"/>
      <c r="K9" s="274"/>
      <c r="L9" s="274"/>
      <c r="M9" s="274"/>
      <c r="N9" s="274"/>
      <c r="O9" s="274"/>
      <c r="P9" s="274"/>
      <c r="Q9" s="274"/>
      <c r="R9" s="273"/>
      <c r="S9" s="65"/>
      <c r="T9" s="65"/>
      <c r="X9" s="65"/>
      <c r="Y9" s="65"/>
      <c r="AA9" s="65"/>
      <c r="AB9" s="65"/>
      <c r="AC9" s="65"/>
    </row>
    <row r="10" spans="1:29" s="66" customFormat="1" ht="24.75" customHeight="1">
      <c r="A10" s="271"/>
      <c r="B10" s="721" t="s">
        <v>540</v>
      </c>
      <c r="C10" s="721"/>
      <c r="D10" s="721"/>
      <c r="E10" s="721"/>
      <c r="F10" s="721"/>
      <c r="G10" s="721"/>
      <c r="H10" s="721"/>
      <c r="I10" s="721"/>
      <c r="J10" s="721"/>
      <c r="K10" s="721"/>
      <c r="L10" s="721"/>
      <c r="M10" s="721"/>
      <c r="N10" s="574">
        <f>'SP11-1'!I37</f>
        <v>0</v>
      </c>
      <c r="O10" s="574"/>
      <c r="P10" s="574"/>
      <c r="Q10" s="574"/>
      <c r="R10" s="271"/>
      <c r="S10" s="65"/>
      <c r="T10" s="65"/>
      <c r="X10" s="65"/>
      <c r="Y10" s="65"/>
      <c r="AA10" s="65"/>
      <c r="AB10" s="65"/>
      <c r="AC10" s="65"/>
    </row>
    <row r="11" spans="1:29" s="66" customFormat="1" ht="19.5" customHeight="1">
      <c r="A11" s="271"/>
      <c r="B11" s="274" t="s">
        <v>541</v>
      </c>
      <c r="C11" s="274"/>
      <c r="D11" s="274"/>
      <c r="E11" s="274"/>
      <c r="F11" s="274"/>
      <c r="G11" s="274"/>
      <c r="H11" s="274"/>
      <c r="I11" s="274"/>
      <c r="J11" s="274"/>
      <c r="K11" s="274"/>
      <c r="L11" s="274"/>
      <c r="M11" s="324"/>
      <c r="N11" s="715"/>
      <c r="O11" s="715"/>
      <c r="P11" s="715"/>
      <c r="Q11" s="715"/>
      <c r="R11" s="271"/>
      <c r="S11" s="65"/>
      <c r="T11" s="65"/>
      <c r="X11" s="65"/>
      <c r="Y11" s="65"/>
      <c r="AA11" s="65"/>
      <c r="AB11" s="65"/>
      <c r="AC11" s="65"/>
    </row>
    <row r="12" spans="1:29" s="66" customFormat="1" ht="19.5" customHeight="1">
      <c r="A12" s="271"/>
      <c r="B12" s="274" t="s">
        <v>542</v>
      </c>
      <c r="C12" s="274"/>
      <c r="D12" s="274"/>
      <c r="E12" s="274"/>
      <c r="F12" s="274" t="s">
        <v>543</v>
      </c>
      <c r="G12" s="274"/>
      <c r="H12" s="274"/>
      <c r="I12" s="274"/>
      <c r="J12" s="274"/>
      <c r="K12" s="274"/>
      <c r="L12" s="274"/>
      <c r="M12" s="324" t="s">
        <v>544</v>
      </c>
      <c r="N12" s="716"/>
      <c r="O12" s="716"/>
      <c r="P12" s="716"/>
      <c r="Q12" s="716"/>
      <c r="R12" s="271"/>
      <c r="S12" s="65"/>
      <c r="T12" s="601" t="s">
        <v>545</v>
      </c>
      <c r="U12" s="601"/>
      <c r="V12" s="601"/>
      <c r="W12" s="601"/>
      <c r="X12" s="601"/>
      <c r="Y12" s="65"/>
      <c r="AA12" s="65"/>
      <c r="AB12" s="65"/>
      <c r="AC12" s="65"/>
    </row>
    <row r="13" spans="1:29" s="66" customFormat="1" ht="3" customHeight="1">
      <c r="A13" s="271"/>
      <c r="B13" s="274"/>
      <c r="C13" s="274"/>
      <c r="D13" s="274"/>
      <c r="E13" s="274"/>
      <c r="F13" s="274"/>
      <c r="G13" s="274"/>
      <c r="H13" s="274"/>
      <c r="I13" s="274"/>
      <c r="J13" s="274"/>
      <c r="K13" s="274"/>
      <c r="L13" s="274"/>
      <c r="M13" s="271"/>
      <c r="N13" s="271"/>
      <c r="O13" s="271"/>
      <c r="P13" s="271"/>
      <c r="Q13" s="271"/>
      <c r="R13" s="271"/>
      <c r="S13" s="65"/>
      <c r="T13" s="65"/>
      <c r="X13" s="65"/>
      <c r="Y13" s="65"/>
      <c r="AA13" s="65"/>
      <c r="AB13" s="65"/>
      <c r="AC13" s="65"/>
    </row>
    <row r="14" spans="1:29" s="66" customFormat="1" ht="19.5" customHeight="1">
      <c r="A14" s="271"/>
      <c r="B14" s="717"/>
      <c r="C14" s="718"/>
      <c r="D14" s="718"/>
      <c r="E14" s="718"/>
      <c r="F14" s="719" t="s">
        <v>546</v>
      </c>
      <c r="G14" s="719"/>
      <c r="H14" s="719"/>
      <c r="I14" s="719"/>
      <c r="J14" s="719"/>
      <c r="K14" s="719"/>
      <c r="L14" s="719" t="s">
        <v>547</v>
      </c>
      <c r="M14" s="719"/>
      <c r="N14" s="719"/>
      <c r="O14" s="719"/>
      <c r="P14" s="719"/>
      <c r="Q14" s="720"/>
      <c r="R14" s="271"/>
      <c r="S14" s="65"/>
      <c r="T14" s="65"/>
      <c r="X14" s="65"/>
      <c r="Y14" s="65"/>
      <c r="AA14" s="65"/>
      <c r="AB14" s="65"/>
      <c r="AC14" s="65"/>
    </row>
    <row r="15" spans="1:29" s="66" customFormat="1" ht="19.5" customHeight="1">
      <c r="A15" s="271"/>
      <c r="B15" s="704" t="s">
        <v>997</v>
      </c>
      <c r="C15" s="704"/>
      <c r="D15" s="704"/>
      <c r="E15" s="704"/>
      <c r="F15" s="705" t="s">
        <v>548</v>
      </c>
      <c r="G15" s="706"/>
      <c r="H15" s="707">
        <f>'SP11-1'!I45</f>
        <v>0</v>
      </c>
      <c r="I15" s="707"/>
      <c r="J15" s="707"/>
      <c r="K15" s="707"/>
      <c r="L15" s="708" t="s">
        <v>549</v>
      </c>
      <c r="M15" s="706"/>
      <c r="N15" s="707">
        <f>'SP11-1'!I44</f>
        <v>0</v>
      </c>
      <c r="O15" s="707"/>
      <c r="P15" s="707"/>
      <c r="Q15" s="707"/>
      <c r="R15" s="271"/>
      <c r="S15" s="65"/>
      <c r="T15" s="620" t="s">
        <v>550</v>
      </c>
      <c r="U15" s="620"/>
      <c r="V15" s="620"/>
      <c r="W15" s="620"/>
      <c r="X15" s="620"/>
      <c r="Y15" s="65"/>
      <c r="AA15" s="65"/>
      <c r="AB15" s="65"/>
      <c r="AC15" s="65"/>
    </row>
    <row r="16" spans="1:29" s="66" customFormat="1" ht="19.5" customHeight="1">
      <c r="A16" s="271"/>
      <c r="B16" s="709" t="s">
        <v>551</v>
      </c>
      <c r="C16" s="710"/>
      <c r="D16" s="710"/>
      <c r="E16" s="711"/>
      <c r="F16" s="712" t="s">
        <v>552</v>
      </c>
      <c r="G16" s="713"/>
      <c r="H16" s="700"/>
      <c r="I16" s="700"/>
      <c r="J16" s="700"/>
      <c r="K16" s="700"/>
      <c r="L16" s="714" t="s">
        <v>553</v>
      </c>
      <c r="M16" s="712"/>
      <c r="N16" s="700"/>
      <c r="O16" s="700"/>
      <c r="P16" s="700"/>
      <c r="Q16" s="700"/>
      <c r="R16" s="271"/>
      <c r="S16" s="28"/>
      <c r="T16" s="620" t="s">
        <v>554</v>
      </c>
      <c r="U16" s="620"/>
      <c r="V16" s="620"/>
      <c r="W16" s="620"/>
      <c r="X16" s="620"/>
      <c r="Y16" s="65"/>
      <c r="AA16" s="65"/>
      <c r="AB16" s="65"/>
      <c r="AC16" s="65"/>
    </row>
    <row r="17" spans="1:29" s="66" customFormat="1" ht="19.5" customHeight="1">
      <c r="A17" s="271"/>
      <c r="B17" s="349" t="s">
        <v>555</v>
      </c>
      <c r="C17" s="350"/>
      <c r="D17" s="350"/>
      <c r="E17" s="350"/>
      <c r="F17" s="350"/>
      <c r="G17" s="350"/>
      <c r="H17" s="700"/>
      <c r="I17" s="700"/>
      <c r="J17" s="700"/>
      <c r="K17" s="700"/>
      <c r="L17" s="350"/>
      <c r="M17" s="350"/>
      <c r="N17" s="700"/>
      <c r="O17" s="700"/>
      <c r="P17" s="700"/>
      <c r="Q17" s="700"/>
      <c r="R17" s="271"/>
      <c r="S17" s="701"/>
      <c r="T17" s="702" t="s">
        <v>556</v>
      </c>
      <c r="U17" s="703"/>
      <c r="V17" s="703"/>
      <c r="W17" s="703"/>
      <c r="X17" s="703"/>
      <c r="AA17" s="65"/>
      <c r="AB17" s="65"/>
      <c r="AC17" s="65"/>
    </row>
    <row r="18" spans="1:29" s="161" customFormat="1" ht="6" customHeight="1" thickBot="1">
      <c r="A18" s="338"/>
      <c r="B18" s="351"/>
      <c r="C18" s="351"/>
      <c r="D18" s="351"/>
      <c r="E18" s="351"/>
      <c r="F18" s="351"/>
      <c r="G18" s="351"/>
      <c r="H18" s="351"/>
      <c r="I18" s="351"/>
      <c r="J18" s="351"/>
      <c r="K18" s="351"/>
      <c r="L18" s="351"/>
      <c r="M18" s="351"/>
      <c r="N18" s="351"/>
      <c r="O18" s="351"/>
      <c r="P18" s="351"/>
      <c r="Q18" s="351"/>
      <c r="R18" s="346"/>
      <c r="S18" s="701"/>
      <c r="T18" s="703"/>
      <c r="U18" s="703"/>
      <c r="V18" s="703"/>
      <c r="W18" s="703"/>
      <c r="X18" s="703"/>
      <c r="AA18" s="160"/>
      <c r="AB18" s="160"/>
      <c r="AC18" s="160"/>
    </row>
    <row r="19" spans="1:29" s="66" customFormat="1" ht="19.5" customHeight="1" thickTop="1">
      <c r="A19" s="273">
        <v>3</v>
      </c>
      <c r="B19" s="597" t="s">
        <v>557</v>
      </c>
      <c r="C19" s="597"/>
      <c r="D19" s="597"/>
      <c r="E19" s="597"/>
      <c r="F19" s="597"/>
      <c r="G19" s="597"/>
      <c r="H19" s="597"/>
      <c r="I19" s="325"/>
      <c r="J19" s="325"/>
      <c r="K19" s="325"/>
      <c r="L19" s="325"/>
      <c r="M19" s="325"/>
      <c r="N19" s="325"/>
      <c r="O19" s="325"/>
      <c r="P19" s="325"/>
      <c r="Q19" s="325"/>
      <c r="R19" s="271"/>
      <c r="S19" s="701"/>
      <c r="T19" s="703"/>
      <c r="U19" s="703"/>
      <c r="V19" s="703"/>
      <c r="W19" s="703"/>
      <c r="X19" s="703"/>
      <c r="AA19" s="65"/>
      <c r="AB19" s="65"/>
      <c r="AC19" s="65"/>
    </row>
    <row r="20" spans="1:29" s="66" customFormat="1" ht="19.5" customHeight="1">
      <c r="A20" s="271"/>
      <c r="B20" s="325"/>
      <c r="C20" s="325"/>
      <c r="D20" s="325"/>
      <c r="E20" s="325"/>
      <c r="F20" s="325"/>
      <c r="G20" s="325"/>
      <c r="H20" s="325"/>
      <c r="I20" s="325"/>
      <c r="J20" s="325"/>
      <c r="K20" s="325"/>
      <c r="L20" s="325"/>
      <c r="M20" s="325"/>
      <c r="N20" s="325"/>
      <c r="O20" s="325"/>
      <c r="P20" s="325"/>
      <c r="Q20" s="325"/>
      <c r="R20" s="271"/>
      <c r="S20" s="701"/>
      <c r="T20" s="703"/>
      <c r="U20" s="703"/>
      <c r="V20" s="703"/>
      <c r="W20" s="703"/>
      <c r="X20" s="703"/>
      <c r="AA20" s="65"/>
      <c r="AB20" s="65"/>
      <c r="AC20" s="65"/>
    </row>
    <row r="21" spans="1:29" s="66" customFormat="1" ht="19.5" customHeight="1">
      <c r="A21" s="271"/>
      <c r="B21" s="325"/>
      <c r="C21" s="325"/>
      <c r="D21" s="325"/>
      <c r="E21" s="325"/>
      <c r="F21" s="325"/>
      <c r="G21" s="585" t="s">
        <v>558</v>
      </c>
      <c r="H21" s="585"/>
      <c r="I21" s="585"/>
      <c r="J21" s="585"/>
      <c r="K21" s="585"/>
      <c r="L21" s="585"/>
      <c r="M21" s="698" t="s">
        <v>444</v>
      </c>
      <c r="N21" s="574">
        <f>IF(H16=0,0,(N10*365*H15*N12)/(H16*H17))</f>
        <v>0</v>
      </c>
      <c r="O21" s="574"/>
      <c r="P21" s="574"/>
      <c r="Q21" s="574"/>
      <c r="R21" s="580" t="s">
        <v>497</v>
      </c>
      <c r="S21" s="65"/>
      <c r="T21" s="199"/>
      <c r="U21" s="199"/>
      <c r="V21" s="199"/>
      <c r="W21" s="199"/>
      <c r="X21" s="199"/>
      <c r="Y21" s="65"/>
      <c r="AA21" s="65"/>
      <c r="AB21" s="65"/>
      <c r="AC21" s="65"/>
    </row>
    <row r="22" spans="1:29" s="66" customFormat="1" ht="19.5" customHeight="1">
      <c r="A22" s="271"/>
      <c r="B22" s="325"/>
      <c r="C22" s="325"/>
      <c r="D22" s="325"/>
      <c r="E22" s="325"/>
      <c r="F22" s="325"/>
      <c r="G22" s="577" t="s">
        <v>559</v>
      </c>
      <c r="H22" s="577"/>
      <c r="I22" s="577"/>
      <c r="J22" s="577"/>
      <c r="K22" s="577"/>
      <c r="L22" s="577"/>
      <c r="M22" s="699"/>
      <c r="N22" s="574"/>
      <c r="O22" s="574"/>
      <c r="P22" s="574"/>
      <c r="Q22" s="574"/>
      <c r="R22" s="580"/>
      <c r="S22" s="65"/>
      <c r="T22" s="199"/>
      <c r="U22" s="199"/>
      <c r="V22" s="199"/>
      <c r="W22" s="199"/>
      <c r="X22" s="199"/>
      <c r="Y22" s="65"/>
      <c r="AA22" s="65"/>
      <c r="AB22" s="65"/>
      <c r="AC22" s="65"/>
    </row>
    <row r="23" spans="1:29" s="161" customFormat="1" ht="3.75" customHeight="1" thickBot="1">
      <c r="A23" s="346"/>
      <c r="B23" s="338"/>
      <c r="C23" s="338"/>
      <c r="D23" s="338"/>
      <c r="E23" s="338"/>
      <c r="F23" s="338"/>
      <c r="G23" s="338"/>
      <c r="H23" s="338"/>
      <c r="I23" s="338"/>
      <c r="J23" s="338"/>
      <c r="K23" s="338"/>
      <c r="L23" s="338"/>
      <c r="M23" s="347"/>
      <c r="N23" s="338"/>
      <c r="O23" s="338"/>
      <c r="P23" s="338"/>
      <c r="Q23" s="338"/>
      <c r="R23" s="346"/>
      <c r="S23" s="160"/>
      <c r="T23" s="160"/>
      <c r="X23" s="160"/>
      <c r="Y23" s="160"/>
      <c r="AA23" s="160"/>
      <c r="AB23" s="160"/>
      <c r="AC23" s="160"/>
    </row>
    <row r="24" spans="1:29" s="66" customFormat="1" ht="19.5" customHeight="1" thickTop="1">
      <c r="A24" s="273">
        <v>4</v>
      </c>
      <c r="B24" s="697" t="s">
        <v>560</v>
      </c>
      <c r="C24" s="697"/>
      <c r="D24" s="697"/>
      <c r="E24" s="697"/>
      <c r="F24" s="697"/>
      <c r="G24" s="697"/>
      <c r="H24" s="325"/>
      <c r="I24" s="326"/>
      <c r="J24" s="325"/>
      <c r="K24" s="325"/>
      <c r="L24" s="325"/>
      <c r="M24" s="324"/>
      <c r="N24" s="325"/>
      <c r="O24" s="325"/>
      <c r="P24" s="325"/>
      <c r="Q24" s="325"/>
      <c r="R24" s="271"/>
      <c r="S24" s="65"/>
      <c r="T24" s="65"/>
      <c r="X24" s="65"/>
      <c r="Y24" s="65"/>
      <c r="AA24" s="65"/>
      <c r="AB24" s="65"/>
      <c r="AC24" s="65"/>
    </row>
    <row r="25" spans="1:29" s="66" customFormat="1" ht="19.5" customHeight="1">
      <c r="A25" s="271"/>
      <c r="B25" s="325"/>
      <c r="C25" s="325"/>
      <c r="D25" s="325"/>
      <c r="E25" s="325"/>
      <c r="F25" s="325"/>
      <c r="G25" s="325"/>
      <c r="H25" s="325"/>
      <c r="I25" s="325"/>
      <c r="J25" s="325"/>
      <c r="K25" s="325"/>
      <c r="L25" s="325"/>
      <c r="M25" s="324"/>
      <c r="N25" s="325"/>
      <c r="O25" s="325"/>
      <c r="P25" s="325"/>
      <c r="Q25" s="325"/>
      <c r="R25" s="271"/>
      <c r="S25" s="65"/>
      <c r="T25" s="65"/>
      <c r="X25" s="65"/>
      <c r="Y25" s="65"/>
      <c r="AA25" s="65"/>
      <c r="AB25" s="65"/>
      <c r="AC25" s="65"/>
    </row>
    <row r="26" spans="1:29" s="66" customFormat="1" ht="19.5" customHeight="1">
      <c r="A26" s="271"/>
      <c r="B26" s="325"/>
      <c r="C26" s="325"/>
      <c r="D26" s="325"/>
      <c r="E26" s="325"/>
      <c r="F26" s="325"/>
      <c r="G26" s="585" t="s">
        <v>561</v>
      </c>
      <c r="H26" s="585"/>
      <c r="I26" s="585"/>
      <c r="J26" s="585"/>
      <c r="K26" s="585"/>
      <c r="L26" s="585"/>
      <c r="M26" s="698" t="s">
        <v>444</v>
      </c>
      <c r="N26" s="574">
        <f>IF(N16="",0,(N10*365*N15*N12)/(N16*N17))</f>
        <v>0</v>
      </c>
      <c r="O26" s="574"/>
      <c r="P26" s="574"/>
      <c r="Q26" s="574"/>
      <c r="R26" s="580" t="s">
        <v>508</v>
      </c>
      <c r="S26" s="65"/>
      <c r="T26" s="65"/>
      <c r="X26" s="65"/>
      <c r="Y26" s="65"/>
      <c r="AA26" s="65"/>
      <c r="AB26" s="65"/>
      <c r="AC26" s="65"/>
    </row>
    <row r="27" spans="1:29" s="66" customFormat="1" ht="19.5" customHeight="1">
      <c r="A27" s="271"/>
      <c r="B27" s="325"/>
      <c r="C27" s="325"/>
      <c r="D27" s="325"/>
      <c r="E27" s="325"/>
      <c r="F27" s="325"/>
      <c r="G27" s="577" t="s">
        <v>562</v>
      </c>
      <c r="H27" s="577"/>
      <c r="I27" s="577"/>
      <c r="J27" s="577"/>
      <c r="K27" s="577"/>
      <c r="L27" s="577"/>
      <c r="M27" s="699"/>
      <c r="N27" s="574"/>
      <c r="O27" s="574"/>
      <c r="P27" s="574"/>
      <c r="Q27" s="574"/>
      <c r="R27" s="580"/>
      <c r="S27" s="65"/>
      <c r="T27" s="65"/>
      <c r="X27" s="65"/>
      <c r="Y27" s="65"/>
      <c r="AA27" s="65"/>
      <c r="AB27" s="65"/>
      <c r="AC27" s="65"/>
    </row>
    <row r="28" spans="1:29" s="161" customFormat="1" ht="4.5" customHeight="1" thickBot="1">
      <c r="A28" s="346"/>
      <c r="B28" s="338"/>
      <c r="C28" s="338"/>
      <c r="D28" s="338"/>
      <c r="E28" s="338"/>
      <c r="F28" s="338"/>
      <c r="G28" s="338"/>
      <c r="H28" s="338"/>
      <c r="I28" s="352"/>
      <c r="J28" s="338"/>
      <c r="K28" s="338"/>
      <c r="L28" s="338"/>
      <c r="M28" s="338"/>
      <c r="N28" s="338"/>
      <c r="O28" s="338"/>
      <c r="P28" s="338"/>
      <c r="Q28" s="338"/>
      <c r="R28" s="346"/>
      <c r="S28" s="160"/>
      <c r="T28" s="160"/>
      <c r="X28" s="160"/>
      <c r="Y28" s="160"/>
      <c r="AA28" s="160"/>
      <c r="AB28" s="160"/>
      <c r="AC28" s="160"/>
    </row>
    <row r="29" spans="1:29" s="66" customFormat="1" ht="4.5" customHeight="1" thickTop="1">
      <c r="A29" s="271"/>
      <c r="B29" s="325"/>
      <c r="C29" s="325"/>
      <c r="D29" s="325"/>
      <c r="E29" s="325"/>
      <c r="F29" s="325"/>
      <c r="G29" s="325"/>
      <c r="H29" s="325"/>
      <c r="I29" s="326"/>
      <c r="J29" s="325"/>
      <c r="K29" s="325"/>
      <c r="L29" s="325"/>
      <c r="M29" s="325"/>
      <c r="N29" s="325"/>
      <c r="O29" s="325"/>
      <c r="P29" s="325"/>
      <c r="Q29" s="325"/>
      <c r="R29" s="271"/>
      <c r="S29" s="65"/>
      <c r="T29" s="65"/>
      <c r="X29" s="65"/>
      <c r="Y29" s="65"/>
      <c r="AA29" s="65"/>
      <c r="AB29" s="65"/>
      <c r="AC29" s="65"/>
    </row>
    <row r="30" spans="1:29" s="66" customFormat="1" ht="19.5" customHeight="1">
      <c r="A30" s="273">
        <v>5</v>
      </c>
      <c r="B30" s="597" t="s">
        <v>563</v>
      </c>
      <c r="C30" s="597"/>
      <c r="D30" s="597"/>
      <c r="E30" s="597"/>
      <c r="F30" s="597"/>
      <c r="G30" s="597"/>
      <c r="H30" s="325"/>
      <c r="I30" s="325"/>
      <c r="J30" s="325"/>
      <c r="K30" s="325"/>
      <c r="L30" s="325"/>
      <c r="M30" s="353" t="s">
        <v>564</v>
      </c>
      <c r="N30" s="574">
        <f>N21-N26</f>
        <v>0</v>
      </c>
      <c r="O30" s="574"/>
      <c r="P30" s="574"/>
      <c r="Q30" s="574"/>
      <c r="R30" s="273" t="s">
        <v>511</v>
      </c>
      <c r="S30" s="65"/>
      <c r="T30" s="65"/>
      <c r="X30" s="65"/>
      <c r="Y30" s="65"/>
      <c r="AA30" s="163"/>
      <c r="AB30" s="65"/>
      <c r="AC30" s="163"/>
    </row>
    <row r="31" spans="1:29" s="161" customFormat="1" ht="3.75" customHeight="1" thickBot="1">
      <c r="A31" s="346"/>
      <c r="B31" s="338"/>
      <c r="C31" s="338"/>
      <c r="D31" s="338"/>
      <c r="E31" s="338"/>
      <c r="F31" s="338"/>
      <c r="G31" s="338"/>
      <c r="H31" s="338"/>
      <c r="I31" s="338"/>
      <c r="J31" s="338"/>
      <c r="K31" s="338"/>
      <c r="L31" s="338"/>
      <c r="M31" s="338"/>
      <c r="N31" s="338"/>
      <c r="O31" s="338"/>
      <c r="P31" s="338"/>
      <c r="Q31" s="338"/>
      <c r="R31" s="346"/>
      <c r="S31" s="160"/>
      <c r="T31" s="160"/>
      <c r="X31" s="160"/>
      <c r="Y31" s="160"/>
      <c r="AA31" s="160"/>
      <c r="AB31" s="160"/>
      <c r="AC31" s="160"/>
    </row>
    <row r="32" spans="1:29" s="66" customFormat="1" ht="4.5" customHeight="1" thickTop="1">
      <c r="A32" s="271"/>
      <c r="B32" s="325"/>
      <c r="C32" s="325"/>
      <c r="D32" s="325"/>
      <c r="E32" s="325"/>
      <c r="F32" s="325"/>
      <c r="G32" s="325"/>
      <c r="H32" s="325"/>
      <c r="I32" s="325"/>
      <c r="J32" s="325"/>
      <c r="K32" s="325"/>
      <c r="L32" s="325"/>
      <c r="M32" s="325"/>
      <c r="N32" s="325"/>
      <c r="O32" s="325"/>
      <c r="P32" s="325"/>
      <c r="Q32" s="325"/>
      <c r="R32" s="271"/>
      <c r="S32" s="65"/>
      <c r="T32" s="65"/>
      <c r="X32" s="65"/>
      <c r="Y32" s="65"/>
      <c r="AA32" s="65"/>
      <c r="AB32" s="65"/>
      <c r="AC32" s="65"/>
    </row>
    <row r="33" spans="1:29" s="66" customFormat="1" ht="19.5" customHeight="1">
      <c r="A33" s="273">
        <v>6</v>
      </c>
      <c r="B33" s="597" t="s">
        <v>565</v>
      </c>
      <c r="C33" s="597"/>
      <c r="D33" s="597"/>
      <c r="E33" s="597"/>
      <c r="F33" s="597"/>
      <c r="G33" s="325"/>
      <c r="H33" s="324" t="s">
        <v>566</v>
      </c>
      <c r="I33" s="336">
        <f>H42</f>
        <v>19.225999999999999</v>
      </c>
      <c r="J33" s="325"/>
      <c r="K33" s="325"/>
      <c r="L33" s="325"/>
      <c r="M33" s="353" t="s">
        <v>567</v>
      </c>
      <c r="N33" s="574">
        <f>N30*I33</f>
        <v>0</v>
      </c>
      <c r="O33" s="574"/>
      <c r="P33" s="574"/>
      <c r="Q33" s="574"/>
      <c r="R33" s="273"/>
      <c r="S33" s="273" t="s">
        <v>568</v>
      </c>
      <c r="T33" s="620" t="s">
        <v>569</v>
      </c>
      <c r="U33" s="620"/>
      <c r="V33" s="620"/>
      <c r="W33" s="620"/>
      <c r="X33" s="620"/>
      <c r="Y33" s="65"/>
      <c r="AA33" s="65"/>
      <c r="AB33" s="65"/>
      <c r="AC33" s="65"/>
    </row>
    <row r="34" spans="1:29" s="66" customFormat="1" ht="19.5" customHeight="1">
      <c r="A34" s="271"/>
      <c r="B34" s="325"/>
      <c r="C34" s="274"/>
      <c r="D34" s="325"/>
      <c r="E34" s="325"/>
      <c r="F34" s="325"/>
      <c r="G34" s="325"/>
      <c r="H34" s="325"/>
      <c r="I34" s="325"/>
      <c r="J34" s="325"/>
      <c r="K34" s="325"/>
      <c r="L34" s="325"/>
      <c r="M34" s="325"/>
      <c r="N34" s="325"/>
      <c r="O34" s="325"/>
      <c r="P34" s="325"/>
      <c r="Q34" s="324"/>
      <c r="R34" s="271"/>
      <c r="S34" s="65"/>
      <c r="T34" s="65"/>
      <c r="U34" s="65"/>
      <c r="V34" s="65"/>
      <c r="W34" s="65"/>
      <c r="X34" s="65"/>
      <c r="Y34" s="65"/>
    </row>
    <row r="35" spans="1:29" s="66" customFormat="1" ht="15" customHeight="1">
      <c r="A35" s="70"/>
      <c r="B35" s="77"/>
      <c r="C35" s="77"/>
      <c r="D35" s="77"/>
      <c r="E35" s="77"/>
      <c r="F35" s="77"/>
      <c r="G35" s="77"/>
      <c r="H35" s="77"/>
      <c r="I35" s="77"/>
      <c r="J35" s="77"/>
      <c r="K35" s="77"/>
      <c r="L35" s="77"/>
      <c r="M35" s="77"/>
      <c r="N35" s="77"/>
      <c r="O35" s="77"/>
      <c r="P35" s="77"/>
      <c r="Q35" s="77"/>
      <c r="R35" s="70"/>
      <c r="S35" s="65"/>
      <c r="T35" s="65"/>
      <c r="U35" s="65"/>
      <c r="V35" s="65"/>
      <c r="W35" s="65"/>
      <c r="X35" s="65"/>
      <c r="Y35" s="65"/>
    </row>
    <row r="36" spans="1:29" s="66" customFormat="1" ht="15" customHeight="1">
      <c r="A36" s="70"/>
      <c r="B36" s="77"/>
      <c r="C36" s="77"/>
      <c r="D36" s="77"/>
      <c r="E36" s="77"/>
      <c r="F36" s="77"/>
      <c r="G36" s="77"/>
      <c r="H36" s="77"/>
      <c r="I36" s="77"/>
      <c r="J36" s="77"/>
      <c r="K36" s="77"/>
      <c r="L36" s="77"/>
      <c r="M36" s="77"/>
      <c r="N36" s="77"/>
      <c r="O36" s="77"/>
      <c r="P36" s="77"/>
      <c r="Q36" s="77"/>
      <c r="R36" s="70"/>
      <c r="S36" s="65"/>
      <c r="T36" s="65"/>
      <c r="U36" s="65"/>
      <c r="V36" s="65"/>
      <c r="W36" s="65"/>
      <c r="X36" s="65"/>
      <c r="Y36" s="65"/>
    </row>
    <row r="37" spans="1:29" s="66" customFormat="1" ht="15" hidden="1" customHeight="1">
      <c r="A37" s="70"/>
      <c r="B37" s="77"/>
      <c r="C37" s="77"/>
      <c r="D37" s="77"/>
      <c r="E37" s="77"/>
      <c r="F37" s="77" t="s">
        <v>570</v>
      </c>
      <c r="G37" s="77" t="s">
        <v>480</v>
      </c>
      <c r="H37" s="77"/>
      <c r="I37" s="77"/>
      <c r="J37" s="77"/>
      <c r="K37" s="77"/>
      <c r="L37" s="77"/>
      <c r="M37" s="77"/>
      <c r="N37" s="78"/>
      <c r="O37" s="77"/>
      <c r="P37" s="77"/>
      <c r="Q37" s="77"/>
      <c r="R37" s="70"/>
      <c r="S37" s="65"/>
      <c r="T37" s="65"/>
      <c r="U37" s="65"/>
      <c r="V37" s="65"/>
      <c r="W37" s="65"/>
      <c r="X37" s="65"/>
      <c r="Y37" s="65"/>
    </row>
    <row r="38" spans="1:29" s="66" customFormat="1" ht="15" hidden="1" customHeight="1">
      <c r="A38" s="70"/>
      <c r="B38" s="77"/>
      <c r="C38" s="77"/>
      <c r="D38" s="77"/>
      <c r="E38" s="77" t="s">
        <v>571</v>
      </c>
      <c r="F38" s="77">
        <f>N30*(39+780*N11)</f>
        <v>0</v>
      </c>
      <c r="G38" s="77" t="e">
        <f>(F38/N12)*(H17/N17)</f>
        <v>#DIV/0!</v>
      </c>
      <c r="H38" s="77"/>
      <c r="I38" s="77"/>
      <c r="J38" s="77"/>
      <c r="K38" s="77"/>
      <c r="L38" s="77"/>
      <c r="M38" s="77"/>
      <c r="N38" s="78"/>
      <c r="O38" s="77"/>
      <c r="P38" s="77"/>
      <c r="Q38" s="77"/>
      <c r="R38" s="70"/>
      <c r="S38" s="65"/>
      <c r="T38" s="65"/>
      <c r="U38" s="65"/>
      <c r="V38" s="65"/>
      <c r="W38" s="65"/>
      <c r="X38" s="65"/>
      <c r="Y38" s="65"/>
    </row>
    <row r="39" spans="1:29" s="66" customFormat="1" ht="12" hidden="1" customHeight="1">
      <c r="A39" s="70"/>
      <c r="B39" s="77"/>
      <c r="C39" s="77"/>
      <c r="D39" s="77"/>
      <c r="E39" s="77"/>
      <c r="F39" s="77"/>
      <c r="G39" s="77"/>
      <c r="H39" s="77"/>
      <c r="I39" s="77"/>
      <c r="J39" s="77"/>
      <c r="K39" s="77"/>
      <c r="L39" s="77"/>
      <c r="M39" s="77"/>
      <c r="N39" s="78"/>
      <c r="O39" s="77"/>
      <c r="P39" s="77"/>
      <c r="Q39" s="77"/>
      <c r="R39" s="70"/>
      <c r="S39" s="65"/>
      <c r="T39" s="65"/>
      <c r="U39" s="65"/>
      <c r="V39" s="65"/>
      <c r="W39" s="65"/>
      <c r="X39" s="65"/>
      <c r="Y39" s="65"/>
    </row>
    <row r="40" spans="1:29" s="66" customFormat="1" ht="12" hidden="1" customHeight="1">
      <c r="A40" s="70"/>
      <c r="B40" s="77"/>
      <c r="C40" s="77"/>
      <c r="D40" s="77"/>
      <c r="E40" s="77"/>
      <c r="F40" s="77"/>
      <c r="G40" s="77"/>
      <c r="H40" s="77"/>
      <c r="I40" s="77"/>
      <c r="J40" s="77"/>
      <c r="K40" s="77"/>
      <c r="L40" s="77"/>
      <c r="M40" s="77"/>
      <c r="N40" s="77"/>
      <c r="O40" s="77"/>
      <c r="P40" s="77"/>
      <c r="Q40" s="77"/>
      <c r="R40" s="70"/>
      <c r="S40" s="65"/>
      <c r="T40" s="65"/>
      <c r="U40" s="65"/>
      <c r="V40" s="65"/>
      <c r="W40" s="65"/>
      <c r="X40" s="65"/>
      <c r="Y40" s="65"/>
    </row>
    <row r="41" spans="1:29" s="66" customFormat="1" ht="12" hidden="1" customHeight="1">
      <c r="A41" s="70"/>
      <c r="B41" s="77"/>
      <c r="C41" s="200"/>
      <c r="D41" s="77"/>
      <c r="E41" s="179"/>
      <c r="F41" s="179"/>
      <c r="G41" s="179"/>
      <c r="H41" s="695"/>
      <c r="I41" s="695"/>
      <c r="J41" s="201"/>
      <c r="K41" s="77"/>
      <c r="L41" s="77"/>
      <c r="M41" s="77"/>
      <c r="N41" s="77"/>
      <c r="O41" s="77"/>
      <c r="P41" s="77"/>
      <c r="Q41" s="77"/>
      <c r="R41" s="70"/>
      <c r="S41" s="65"/>
      <c r="T41" s="65"/>
      <c r="U41" s="65"/>
      <c r="V41" s="65"/>
      <c r="W41" s="65"/>
      <c r="X41" s="65"/>
      <c r="Y41" s="65"/>
    </row>
    <row r="42" spans="1:29" s="74" customFormat="1" ht="12" hidden="1" customHeight="1">
      <c r="A42" s="65"/>
      <c r="B42" s="77"/>
      <c r="C42" s="200">
        <v>0.04</v>
      </c>
      <c r="D42" s="77">
        <v>0.96</v>
      </c>
      <c r="E42" s="65">
        <v>20.186</v>
      </c>
      <c r="F42" s="65">
        <v>0.48709999999999998</v>
      </c>
      <c r="G42" s="65">
        <v>302.25049999999999</v>
      </c>
      <c r="H42" s="695">
        <f>E42-D42+J42*(G42-F42)</f>
        <v>19.225999999999999</v>
      </c>
      <c r="I42" s="695"/>
      <c r="J42" s="201">
        <f>N$11</f>
        <v>0</v>
      </c>
      <c r="K42" s="65"/>
      <c r="L42" s="65"/>
      <c r="M42" s="65"/>
      <c r="N42" s="65"/>
      <c r="O42" s="65"/>
      <c r="P42" s="65"/>
      <c r="Q42" s="65"/>
      <c r="R42" s="70"/>
      <c r="S42" s="65"/>
      <c r="T42" s="65"/>
      <c r="U42" s="65"/>
      <c r="V42" s="65"/>
      <c r="W42" s="65"/>
      <c r="X42" s="65"/>
      <c r="Y42" s="65"/>
    </row>
    <row r="43" spans="1:29" s="74" customFormat="1" ht="12" hidden="1" customHeight="1">
      <c r="A43" s="65"/>
      <c r="B43" s="77"/>
      <c r="C43" s="200"/>
      <c r="D43" s="77"/>
      <c r="E43" s="65"/>
      <c r="F43" s="65"/>
      <c r="G43" s="65"/>
      <c r="H43" s="695"/>
      <c r="I43" s="695"/>
      <c r="J43" s="201"/>
      <c r="K43" s="65"/>
      <c r="L43" s="65"/>
      <c r="M43" s="65"/>
      <c r="N43" s="65"/>
      <c r="O43" s="65"/>
      <c r="P43" s="65"/>
      <c r="Q43" s="65"/>
      <c r="R43" s="70"/>
      <c r="S43" s="65"/>
      <c r="T43" s="65"/>
      <c r="U43" s="65"/>
      <c r="V43" s="65"/>
      <c r="W43" s="65"/>
      <c r="X43" s="65"/>
      <c r="Y43" s="65"/>
    </row>
    <row r="44" spans="1:29" s="74" customFormat="1" ht="12" hidden="1" customHeight="1">
      <c r="A44" s="65"/>
      <c r="B44" s="77"/>
      <c r="C44" s="77"/>
      <c r="D44" s="77"/>
      <c r="E44" s="65"/>
      <c r="F44" s="65"/>
      <c r="G44" s="65"/>
      <c r="H44" s="65"/>
      <c r="I44" s="65"/>
      <c r="J44" s="65"/>
      <c r="K44" s="65"/>
      <c r="L44" s="65"/>
      <c r="M44" s="65"/>
      <c r="N44" s="65"/>
      <c r="O44" s="65"/>
      <c r="P44" s="65"/>
      <c r="Q44" s="65"/>
      <c r="R44" s="70"/>
      <c r="S44" s="65"/>
      <c r="T44" s="65"/>
      <c r="U44" s="65"/>
      <c r="V44" s="65"/>
      <c r="W44" s="65"/>
      <c r="X44" s="65"/>
      <c r="Y44" s="65"/>
    </row>
    <row r="45" spans="1:29" s="74" customFormat="1" ht="12" hidden="1" customHeight="1">
      <c r="A45" s="65"/>
      <c r="B45" s="77"/>
      <c r="C45" s="77"/>
      <c r="D45" s="77"/>
      <c r="E45" s="65"/>
      <c r="F45" s="65"/>
      <c r="G45" s="65"/>
      <c r="H45" s="65"/>
      <c r="I45" s="65"/>
      <c r="J45" s="65"/>
      <c r="K45" s="65"/>
      <c r="L45" s="65"/>
      <c r="M45" s="65"/>
      <c r="N45" s="65"/>
      <c r="O45" s="65"/>
      <c r="P45" s="65"/>
      <c r="Q45" s="65"/>
      <c r="R45" s="70"/>
      <c r="S45" s="65"/>
      <c r="T45" s="65"/>
      <c r="U45" s="65"/>
      <c r="V45" s="65"/>
      <c r="W45" s="65"/>
      <c r="X45" s="65"/>
      <c r="Y45" s="65"/>
    </row>
    <row r="46" spans="1:29" s="74" customFormat="1" ht="12" hidden="1" customHeight="1">
      <c r="A46" s="456" t="s">
        <v>937</v>
      </c>
      <c r="B46" s="77"/>
      <c r="C46" s="77"/>
      <c r="D46" s="77"/>
      <c r="E46" s="65"/>
      <c r="F46" s="65"/>
      <c r="G46" s="65"/>
      <c r="H46" s="65"/>
      <c r="I46" s="65"/>
      <c r="J46" s="65"/>
      <c r="K46" s="584"/>
      <c r="L46" s="584"/>
      <c r="M46" s="584"/>
      <c r="N46" s="696"/>
      <c r="O46" s="584"/>
      <c r="P46" s="584"/>
      <c r="Q46" s="584"/>
      <c r="R46" s="584"/>
      <c r="S46" s="65"/>
      <c r="T46" s="65"/>
      <c r="U46" s="65"/>
      <c r="V46" s="65"/>
      <c r="W46" s="65"/>
      <c r="X46" s="65"/>
      <c r="Y46" s="65"/>
    </row>
    <row r="47" spans="1:29" s="74" customFormat="1" ht="11.25" hidden="1" customHeight="1">
      <c r="A47" s="456" t="s">
        <v>938</v>
      </c>
      <c r="B47" s="77"/>
      <c r="C47" s="77"/>
      <c r="D47" s="77"/>
      <c r="E47" s="65"/>
      <c r="F47" s="65"/>
      <c r="G47" s="65"/>
      <c r="H47" s="65"/>
      <c r="I47" s="65"/>
      <c r="J47" s="65"/>
      <c r="K47" s="65"/>
      <c r="L47" s="65"/>
      <c r="M47" s="65"/>
      <c r="N47" s="65"/>
      <c r="O47" s="65"/>
      <c r="P47" s="65"/>
      <c r="Q47" s="65"/>
      <c r="R47" s="70"/>
      <c r="S47" s="65"/>
      <c r="T47" s="65"/>
      <c r="U47" s="65"/>
      <c r="V47" s="65"/>
      <c r="W47" s="65"/>
      <c r="X47" s="65"/>
      <c r="Y47" s="65"/>
    </row>
    <row r="48" spans="1:29" s="74" customFormat="1" ht="12" hidden="1" customHeight="1">
      <c r="A48" s="456" t="s">
        <v>939</v>
      </c>
      <c r="B48" s="77"/>
      <c r="C48" s="77"/>
      <c r="D48" s="77"/>
      <c r="E48" s="65"/>
      <c r="F48" s="65"/>
      <c r="G48" s="65"/>
      <c r="H48" s="65"/>
      <c r="I48" s="65"/>
      <c r="J48" s="65"/>
      <c r="K48" s="65"/>
      <c r="L48" s="65"/>
      <c r="M48" s="65"/>
      <c r="N48" s="65"/>
      <c r="O48" s="65"/>
      <c r="P48" s="65"/>
      <c r="Q48" s="65"/>
      <c r="R48" s="70"/>
      <c r="S48" s="65"/>
      <c r="T48" s="65"/>
      <c r="U48" s="65"/>
      <c r="V48" s="65"/>
      <c r="W48" s="65"/>
      <c r="X48" s="65"/>
      <c r="Y48" s="65"/>
    </row>
    <row r="49" spans="1:25" s="74" customFormat="1" ht="12" hidden="1" customHeight="1">
      <c r="A49" s="456" t="s">
        <v>940</v>
      </c>
      <c r="B49" s="77"/>
      <c r="C49" s="77"/>
      <c r="D49" s="77"/>
      <c r="E49" s="65"/>
      <c r="F49" s="65"/>
      <c r="G49" s="65"/>
      <c r="H49" s="65"/>
      <c r="I49" s="65"/>
      <c r="J49" s="65"/>
      <c r="K49" s="65"/>
      <c r="L49" s="65"/>
      <c r="M49" s="65"/>
      <c r="N49" s="65"/>
      <c r="O49" s="65"/>
      <c r="P49" s="65"/>
      <c r="Q49" s="65"/>
      <c r="R49" s="70"/>
      <c r="S49" s="65"/>
      <c r="T49" s="65"/>
      <c r="U49" s="65"/>
      <c r="V49" s="65"/>
      <c r="W49" s="65"/>
      <c r="X49" s="65"/>
      <c r="Y49" s="65"/>
    </row>
    <row r="50" spans="1:25" ht="12" hidden="1" customHeight="1">
      <c r="A50" s="457" t="s">
        <v>941</v>
      </c>
      <c r="B50" s="77"/>
      <c r="C50" s="77"/>
      <c r="D50" s="77"/>
      <c r="E50" s="63"/>
      <c r="F50" s="63"/>
      <c r="G50" s="63"/>
      <c r="H50" s="63"/>
      <c r="I50" s="63"/>
      <c r="J50" s="63"/>
      <c r="K50" s="63"/>
      <c r="L50" s="63"/>
      <c r="M50" s="63"/>
      <c r="N50" s="63"/>
      <c r="O50" s="63"/>
      <c r="P50" s="63"/>
      <c r="Q50" s="63"/>
      <c r="R50" s="64"/>
      <c r="S50" s="63"/>
      <c r="T50" s="63"/>
      <c r="U50" s="63"/>
      <c r="V50" s="63"/>
      <c r="W50" s="63"/>
      <c r="X50" s="63"/>
      <c r="Y50" s="63"/>
    </row>
    <row r="51" spans="1:25" hidden="1">
      <c r="A51" s="457" t="s">
        <v>942</v>
      </c>
      <c r="B51" s="77"/>
      <c r="C51" s="77"/>
      <c r="D51" s="77"/>
      <c r="E51" s="63"/>
      <c r="F51" s="63"/>
      <c r="G51" s="63"/>
      <c r="H51" s="63"/>
      <c r="I51" s="63"/>
      <c r="J51" s="63"/>
      <c r="K51" s="63"/>
      <c r="L51" s="63"/>
      <c r="M51" s="63"/>
      <c r="N51" s="63"/>
      <c r="O51" s="63"/>
      <c r="P51" s="63"/>
      <c r="Q51" s="63"/>
      <c r="R51" s="64"/>
      <c r="S51" s="63"/>
      <c r="T51" s="63"/>
      <c r="U51" s="63"/>
      <c r="V51" s="63"/>
      <c r="W51" s="63"/>
      <c r="X51" s="63"/>
      <c r="Y51" s="63"/>
    </row>
    <row r="52" spans="1:25" hidden="1">
      <c r="A52" s="63"/>
      <c r="B52" s="63"/>
      <c r="C52" s="63"/>
      <c r="D52" s="63"/>
      <c r="E52" s="63"/>
      <c r="F52" s="63"/>
      <c r="G52" s="63"/>
      <c r="H52" s="63"/>
      <c r="I52" s="63"/>
      <c r="J52" s="63"/>
      <c r="K52" s="63"/>
      <c r="L52" s="63"/>
      <c r="M52" s="63"/>
      <c r="N52" s="63"/>
      <c r="O52" s="63"/>
      <c r="P52" s="63"/>
      <c r="Q52" s="63"/>
      <c r="R52" s="64"/>
      <c r="S52" s="63"/>
      <c r="T52" s="63"/>
      <c r="U52" s="63"/>
      <c r="V52" s="63"/>
      <c r="W52" s="63"/>
      <c r="X52" s="63"/>
      <c r="Y52" s="63"/>
    </row>
    <row r="53" spans="1:25">
      <c r="A53" s="63"/>
      <c r="B53" s="63"/>
      <c r="C53" s="63"/>
      <c r="D53" s="63"/>
      <c r="E53" s="63"/>
      <c r="F53" s="63"/>
      <c r="G53" s="63"/>
      <c r="H53" s="63"/>
      <c r="I53" s="63"/>
      <c r="J53" s="63"/>
      <c r="K53" s="63"/>
      <c r="L53" s="63"/>
      <c r="M53" s="63"/>
      <c r="N53" s="63"/>
      <c r="O53" s="63"/>
      <c r="P53" s="63"/>
      <c r="Q53" s="63"/>
      <c r="R53" s="64"/>
      <c r="S53" s="63"/>
      <c r="T53" s="63"/>
      <c r="U53" s="63"/>
      <c r="V53" s="63"/>
      <c r="W53" s="63"/>
      <c r="X53" s="63"/>
      <c r="Y53" s="63"/>
    </row>
    <row r="54" spans="1:25">
      <c r="A54" s="63"/>
      <c r="B54" s="63"/>
      <c r="C54" s="63"/>
      <c r="D54" s="63"/>
      <c r="E54" s="63"/>
      <c r="F54" s="63"/>
      <c r="G54" s="63"/>
      <c r="H54" s="63"/>
      <c r="I54" s="63"/>
      <c r="J54" s="63"/>
      <c r="K54" s="63"/>
      <c r="L54" s="63"/>
      <c r="M54" s="63"/>
      <c r="N54" s="63"/>
      <c r="O54" s="63"/>
      <c r="P54" s="63"/>
      <c r="Q54" s="63"/>
      <c r="R54" s="64"/>
      <c r="S54" s="63"/>
      <c r="T54" s="63"/>
      <c r="U54" s="63"/>
      <c r="V54" s="63"/>
      <c r="W54" s="63"/>
      <c r="X54" s="63"/>
      <c r="Y54" s="63"/>
    </row>
    <row r="55" spans="1:25">
      <c r="A55" s="63"/>
      <c r="B55" s="63"/>
      <c r="C55" s="63"/>
      <c r="D55" s="63"/>
      <c r="E55" s="63"/>
      <c r="F55" s="63"/>
      <c r="G55" s="63"/>
      <c r="H55" s="63"/>
      <c r="I55" s="63"/>
      <c r="J55" s="63"/>
      <c r="K55" s="63"/>
      <c r="L55" s="63"/>
      <c r="M55" s="63"/>
      <c r="N55" s="63"/>
      <c r="O55" s="63"/>
      <c r="P55" s="63"/>
      <c r="Q55" s="63"/>
      <c r="R55" s="64"/>
      <c r="S55" s="63"/>
      <c r="T55" s="63"/>
      <c r="U55" s="63"/>
      <c r="V55" s="63"/>
      <c r="W55" s="63"/>
      <c r="X55" s="63"/>
      <c r="Y55" s="63"/>
    </row>
    <row r="56" spans="1:25">
      <c r="A56" s="63"/>
      <c r="B56" s="63"/>
      <c r="C56" s="63"/>
      <c r="D56" s="63"/>
      <c r="E56" s="63"/>
      <c r="F56" s="63"/>
      <c r="G56" s="63"/>
      <c r="H56" s="63"/>
      <c r="I56" s="63"/>
      <c r="J56" s="63"/>
      <c r="K56" s="63"/>
      <c r="L56" s="63"/>
      <c r="M56" s="63"/>
      <c r="N56" s="63"/>
      <c r="O56" s="63"/>
      <c r="P56" s="63"/>
      <c r="Q56" s="63"/>
      <c r="R56" s="64"/>
      <c r="S56" s="63"/>
      <c r="T56" s="63"/>
      <c r="U56" s="63"/>
      <c r="V56" s="63"/>
      <c r="W56" s="63"/>
      <c r="X56" s="63"/>
      <c r="Y56" s="63"/>
    </row>
    <row r="57" spans="1:25">
      <c r="A57" s="63"/>
      <c r="B57" s="63"/>
      <c r="C57" s="63"/>
      <c r="D57" s="63"/>
      <c r="E57" s="63"/>
      <c r="F57" s="63"/>
      <c r="G57" s="63"/>
      <c r="H57" s="63"/>
      <c r="I57" s="63"/>
      <c r="J57" s="63"/>
      <c r="K57" s="63"/>
      <c r="L57" s="63"/>
      <c r="M57" s="63"/>
      <c r="N57" s="63"/>
      <c r="O57" s="63"/>
      <c r="P57" s="63"/>
      <c r="Q57" s="63"/>
      <c r="R57" s="64"/>
      <c r="S57" s="63"/>
      <c r="T57" s="63"/>
      <c r="U57" s="63"/>
      <c r="V57" s="63"/>
      <c r="W57" s="63"/>
      <c r="X57" s="63"/>
      <c r="Y57" s="63"/>
    </row>
    <row r="58" spans="1:25">
      <c r="A58" s="63"/>
      <c r="B58" s="63"/>
      <c r="C58" s="63"/>
      <c r="D58" s="63"/>
      <c r="E58" s="63"/>
      <c r="F58" s="63"/>
      <c r="G58" s="63"/>
      <c r="H58" s="63"/>
      <c r="I58" s="63"/>
      <c r="J58" s="63"/>
      <c r="K58" s="63"/>
      <c r="L58" s="63"/>
      <c r="M58" s="63"/>
      <c r="N58" s="63"/>
      <c r="O58" s="63"/>
      <c r="P58" s="63"/>
      <c r="Q58" s="63"/>
      <c r="R58" s="64"/>
      <c r="S58" s="63"/>
      <c r="T58" s="63"/>
      <c r="U58" s="63"/>
      <c r="V58" s="63"/>
      <c r="W58" s="63"/>
      <c r="X58" s="63"/>
      <c r="Y58" s="63"/>
    </row>
    <row r="59" spans="1:25">
      <c r="A59" s="63"/>
      <c r="B59" s="63"/>
      <c r="C59" s="63"/>
      <c r="D59" s="63"/>
      <c r="E59" s="63"/>
      <c r="F59" s="63"/>
      <c r="G59" s="63"/>
      <c r="H59" s="63"/>
      <c r="I59" s="63"/>
      <c r="J59" s="63"/>
      <c r="K59" s="63"/>
      <c r="L59" s="63"/>
      <c r="M59" s="63"/>
      <c r="N59" s="63"/>
      <c r="O59" s="63"/>
      <c r="P59" s="63"/>
      <c r="Q59" s="63"/>
      <c r="R59" s="64"/>
      <c r="S59" s="63"/>
      <c r="T59" s="63"/>
      <c r="U59" s="63"/>
      <c r="V59" s="63"/>
      <c r="W59" s="63"/>
      <c r="X59" s="63"/>
      <c r="Y59" s="63"/>
    </row>
    <row r="60" spans="1:25">
      <c r="A60" s="63"/>
      <c r="B60" s="63"/>
      <c r="C60" s="63"/>
      <c r="D60" s="63"/>
      <c r="E60" s="63"/>
      <c r="F60" s="63"/>
      <c r="G60" s="63"/>
      <c r="H60" s="63"/>
      <c r="I60" s="63"/>
      <c r="J60" s="63"/>
      <c r="K60" s="63"/>
      <c r="L60" s="63"/>
      <c r="M60" s="63"/>
      <c r="N60" s="63"/>
      <c r="O60" s="63"/>
      <c r="P60" s="63"/>
      <c r="Q60" s="63"/>
      <c r="R60" s="64"/>
      <c r="S60" s="63"/>
      <c r="T60" s="63"/>
      <c r="U60" s="63"/>
      <c r="V60" s="63"/>
      <c r="W60" s="63"/>
      <c r="X60" s="63"/>
      <c r="Y60" s="63"/>
    </row>
    <row r="61" spans="1:25">
      <c r="A61" s="63"/>
      <c r="B61" s="63"/>
      <c r="C61" s="63"/>
      <c r="D61" s="63"/>
      <c r="E61" s="63"/>
      <c r="F61" s="63"/>
      <c r="G61" s="63"/>
      <c r="H61" s="63"/>
      <c r="I61" s="63"/>
      <c r="J61" s="63"/>
      <c r="K61" s="63"/>
      <c r="L61" s="63"/>
      <c r="M61" s="63"/>
      <c r="N61" s="63"/>
      <c r="O61" s="63"/>
      <c r="P61" s="63"/>
      <c r="Q61" s="63"/>
      <c r="R61" s="64"/>
      <c r="S61" s="63"/>
      <c r="T61" s="63"/>
      <c r="U61" s="63"/>
      <c r="V61" s="63"/>
      <c r="W61" s="63"/>
      <c r="X61" s="63"/>
      <c r="Y61" s="63"/>
    </row>
    <row r="62" spans="1:25">
      <c r="A62" s="63"/>
      <c r="B62" s="63"/>
      <c r="C62" s="63"/>
      <c r="D62" s="63"/>
      <c r="E62" s="63"/>
      <c r="F62" s="63"/>
      <c r="G62" s="63"/>
      <c r="H62" s="63"/>
      <c r="I62" s="63"/>
      <c r="J62" s="63"/>
      <c r="K62" s="63"/>
      <c r="L62" s="63"/>
      <c r="M62" s="63"/>
      <c r="N62" s="63"/>
      <c r="O62" s="63"/>
      <c r="P62" s="63"/>
      <c r="Q62" s="63"/>
      <c r="R62" s="64"/>
      <c r="S62" s="63"/>
      <c r="T62" s="63"/>
      <c r="U62" s="63"/>
      <c r="V62" s="63"/>
      <c r="W62" s="63"/>
      <c r="X62" s="63"/>
      <c r="Y62" s="63"/>
    </row>
    <row r="63" spans="1:25">
      <c r="A63" s="63"/>
      <c r="B63" s="63"/>
      <c r="C63" s="63"/>
      <c r="D63" s="63"/>
      <c r="E63" s="63"/>
      <c r="F63" s="63"/>
      <c r="G63" s="63"/>
      <c r="H63" s="63"/>
      <c r="I63" s="63"/>
      <c r="J63" s="63"/>
      <c r="K63" s="63"/>
      <c r="L63" s="63"/>
      <c r="M63" s="63"/>
      <c r="N63" s="63"/>
      <c r="O63" s="63"/>
      <c r="P63" s="63"/>
      <c r="Q63" s="63"/>
      <c r="R63" s="64"/>
      <c r="S63" s="63"/>
      <c r="T63" s="63"/>
      <c r="U63" s="63"/>
      <c r="V63" s="63"/>
      <c r="W63" s="63"/>
      <c r="X63" s="63"/>
      <c r="Y63" s="63"/>
    </row>
    <row r="64" spans="1:25">
      <c r="A64" s="63"/>
      <c r="B64" s="63"/>
      <c r="C64" s="63"/>
      <c r="D64" s="63"/>
      <c r="E64" s="63"/>
      <c r="F64" s="63"/>
      <c r="G64" s="63"/>
      <c r="H64" s="63"/>
      <c r="I64" s="63"/>
      <c r="J64" s="63"/>
      <c r="K64" s="63"/>
      <c r="L64" s="63"/>
      <c r="M64" s="63"/>
      <c r="N64" s="63"/>
      <c r="O64" s="63"/>
      <c r="P64" s="63"/>
      <c r="Q64" s="63"/>
      <c r="R64" s="64"/>
      <c r="S64" s="63"/>
      <c r="T64" s="63"/>
      <c r="U64" s="63"/>
      <c r="V64" s="63"/>
      <c r="W64" s="63"/>
      <c r="X64" s="63"/>
      <c r="Y64" s="63"/>
    </row>
    <row r="65" spans="1:25">
      <c r="A65" s="63"/>
      <c r="B65" s="63"/>
      <c r="C65" s="63"/>
      <c r="D65" s="63"/>
      <c r="E65" s="63"/>
      <c r="F65" s="63"/>
      <c r="G65" s="63"/>
      <c r="H65" s="63"/>
      <c r="I65" s="63"/>
      <c r="J65" s="63"/>
      <c r="K65" s="63"/>
      <c r="L65" s="63"/>
      <c r="M65" s="63"/>
      <c r="N65" s="63"/>
      <c r="O65" s="63"/>
      <c r="P65" s="63"/>
      <c r="Q65" s="63"/>
      <c r="R65" s="64"/>
      <c r="S65" s="63"/>
      <c r="T65" s="63"/>
      <c r="U65" s="63"/>
      <c r="V65" s="63"/>
      <c r="W65" s="63"/>
      <c r="X65" s="63"/>
      <c r="Y65" s="63"/>
    </row>
    <row r="66" spans="1:25">
      <c r="A66" s="63"/>
      <c r="B66" s="63"/>
      <c r="C66" s="63"/>
      <c r="D66" s="63"/>
      <c r="E66" s="63"/>
      <c r="F66" s="63"/>
      <c r="G66" s="63"/>
      <c r="H66" s="63"/>
      <c r="I66" s="63"/>
      <c r="J66" s="63"/>
      <c r="K66" s="63"/>
      <c r="L66" s="63"/>
      <c r="M66" s="63"/>
      <c r="N66" s="63"/>
      <c r="O66" s="63"/>
      <c r="P66" s="63"/>
      <c r="Q66" s="63"/>
      <c r="R66" s="64"/>
      <c r="S66" s="63"/>
      <c r="T66" s="63"/>
      <c r="U66" s="63"/>
      <c r="V66" s="63"/>
      <c r="W66" s="63"/>
      <c r="X66" s="63"/>
      <c r="Y66" s="63"/>
    </row>
    <row r="67" spans="1:25">
      <c r="A67" s="63"/>
      <c r="B67" s="63"/>
      <c r="C67" s="63"/>
      <c r="D67" s="63"/>
      <c r="E67" s="63"/>
      <c r="F67" s="63"/>
      <c r="G67" s="63"/>
      <c r="H67" s="63"/>
      <c r="I67" s="63"/>
      <c r="J67" s="63"/>
      <c r="K67" s="63"/>
      <c r="L67" s="63"/>
      <c r="M67" s="63"/>
      <c r="N67" s="63"/>
      <c r="O67" s="63"/>
      <c r="P67" s="63"/>
      <c r="Q67" s="63"/>
      <c r="R67" s="64"/>
      <c r="S67" s="63"/>
      <c r="T67" s="63"/>
      <c r="U67" s="63"/>
      <c r="V67" s="63"/>
      <c r="W67" s="63"/>
      <c r="X67" s="63"/>
      <c r="Y67" s="63"/>
    </row>
    <row r="68" spans="1:25">
      <c r="A68" s="63"/>
      <c r="B68" s="63"/>
      <c r="C68" s="63"/>
      <c r="D68" s="63"/>
      <c r="E68" s="63"/>
      <c r="F68" s="63"/>
      <c r="G68" s="63"/>
      <c r="H68" s="63"/>
      <c r="I68" s="63"/>
      <c r="J68" s="63"/>
      <c r="K68" s="63"/>
      <c r="L68" s="63"/>
      <c r="M68" s="63"/>
      <c r="N68" s="63"/>
      <c r="O68" s="63"/>
      <c r="P68" s="63"/>
      <c r="Q68" s="63"/>
      <c r="R68" s="64"/>
      <c r="S68" s="63"/>
      <c r="T68" s="63"/>
      <c r="U68" s="63"/>
      <c r="V68" s="63"/>
      <c r="W68" s="63"/>
      <c r="X68" s="63"/>
      <c r="Y68" s="63"/>
    </row>
    <row r="69" spans="1:25">
      <c r="A69" s="63"/>
      <c r="B69" s="63"/>
      <c r="C69" s="63"/>
      <c r="D69" s="63"/>
      <c r="E69" s="63"/>
      <c r="F69" s="63"/>
      <c r="G69" s="63"/>
      <c r="H69" s="63"/>
      <c r="I69" s="63"/>
      <c r="J69" s="63"/>
      <c r="K69" s="63"/>
      <c r="L69" s="63"/>
      <c r="M69" s="63"/>
      <c r="N69" s="63"/>
      <c r="O69" s="63"/>
      <c r="P69" s="63"/>
      <c r="Q69" s="63"/>
      <c r="R69" s="64"/>
      <c r="S69" s="63"/>
      <c r="T69" s="63"/>
      <c r="U69" s="63"/>
      <c r="V69" s="63"/>
      <c r="W69" s="63"/>
      <c r="X69" s="63"/>
      <c r="Y69" s="63"/>
    </row>
    <row r="70" spans="1:25">
      <c r="A70" s="63"/>
      <c r="B70" s="63"/>
      <c r="C70" s="63"/>
      <c r="D70" s="63"/>
      <c r="E70" s="63"/>
      <c r="F70" s="63"/>
      <c r="G70" s="63"/>
      <c r="H70" s="63"/>
      <c r="I70" s="63"/>
      <c r="J70" s="63"/>
      <c r="K70" s="63"/>
      <c r="L70" s="63"/>
      <c r="M70" s="63"/>
      <c r="N70" s="63"/>
      <c r="O70" s="63"/>
      <c r="P70" s="63"/>
      <c r="Q70" s="63"/>
      <c r="R70" s="64"/>
      <c r="S70" s="63"/>
      <c r="T70" s="63"/>
      <c r="U70" s="63"/>
      <c r="V70" s="63"/>
      <c r="W70" s="63"/>
      <c r="X70" s="63"/>
      <c r="Y70" s="63"/>
    </row>
    <row r="71" spans="1:25">
      <c r="A71" s="63"/>
      <c r="B71" s="63"/>
      <c r="C71" s="63"/>
      <c r="D71" s="63"/>
      <c r="E71" s="63"/>
      <c r="F71" s="63"/>
      <c r="G71" s="63"/>
      <c r="H71" s="63"/>
      <c r="I71" s="63"/>
      <c r="J71" s="63"/>
      <c r="K71" s="63"/>
      <c r="L71" s="63"/>
      <c r="M71" s="63"/>
      <c r="N71" s="63"/>
      <c r="O71" s="63"/>
      <c r="P71" s="63"/>
      <c r="Q71" s="63"/>
      <c r="R71" s="64"/>
      <c r="S71" s="63"/>
      <c r="T71" s="63"/>
      <c r="U71" s="63"/>
      <c r="V71" s="63"/>
      <c r="W71" s="63"/>
      <c r="X71" s="63"/>
      <c r="Y71" s="63"/>
    </row>
    <row r="72" spans="1:25">
      <c r="A72" s="63"/>
      <c r="B72" s="63"/>
      <c r="C72" s="63"/>
      <c r="D72" s="63"/>
      <c r="E72" s="63"/>
      <c r="F72" s="63"/>
      <c r="G72" s="63"/>
      <c r="H72" s="63"/>
      <c r="I72" s="63"/>
      <c r="J72" s="63"/>
      <c r="K72" s="63"/>
      <c r="L72" s="63"/>
      <c r="M72" s="63"/>
      <c r="N72" s="63"/>
      <c r="O72" s="63"/>
      <c r="P72" s="63"/>
      <c r="Q72" s="63"/>
      <c r="R72" s="64"/>
      <c r="S72" s="63"/>
      <c r="T72" s="63"/>
      <c r="U72" s="63"/>
      <c r="V72" s="63"/>
      <c r="W72" s="63"/>
      <c r="X72" s="63"/>
      <c r="Y72" s="63"/>
    </row>
    <row r="73" spans="1:25">
      <c r="A73" s="63"/>
      <c r="B73" s="63"/>
      <c r="C73" s="63"/>
      <c r="D73" s="63"/>
      <c r="E73" s="63"/>
      <c r="F73" s="63"/>
      <c r="G73" s="63"/>
      <c r="H73" s="63"/>
      <c r="I73" s="63"/>
      <c r="J73" s="63"/>
      <c r="K73" s="63"/>
      <c r="L73" s="63"/>
      <c r="M73" s="63"/>
      <c r="N73" s="63"/>
      <c r="O73" s="63"/>
      <c r="P73" s="63"/>
      <c r="Q73" s="63"/>
      <c r="R73" s="64"/>
      <c r="S73" s="63"/>
      <c r="T73" s="63"/>
      <c r="U73" s="63"/>
      <c r="V73" s="63"/>
      <c r="W73" s="63"/>
      <c r="X73" s="63"/>
      <c r="Y73" s="63"/>
    </row>
    <row r="74" spans="1:25">
      <c r="A74" s="63"/>
      <c r="B74" s="63"/>
      <c r="C74" s="63"/>
      <c r="D74" s="63"/>
      <c r="E74" s="63"/>
      <c r="F74" s="63"/>
      <c r="G74" s="63"/>
      <c r="H74" s="63"/>
      <c r="I74" s="63"/>
      <c r="J74" s="63"/>
      <c r="K74" s="63"/>
      <c r="L74" s="63"/>
      <c r="M74" s="63"/>
      <c r="N74" s="63"/>
      <c r="O74" s="63"/>
      <c r="P74" s="63"/>
      <c r="Q74" s="63"/>
      <c r="R74" s="64"/>
      <c r="S74" s="63"/>
      <c r="T74" s="63"/>
      <c r="U74" s="63"/>
      <c r="V74" s="63"/>
      <c r="W74" s="63"/>
      <c r="X74" s="63"/>
      <c r="Y74" s="63"/>
    </row>
    <row r="75" spans="1:25">
      <c r="A75" s="63"/>
      <c r="B75" s="63"/>
      <c r="C75" s="63"/>
      <c r="D75" s="63"/>
      <c r="E75" s="63"/>
      <c r="F75" s="63"/>
      <c r="G75" s="63"/>
      <c r="H75" s="63"/>
      <c r="I75" s="63"/>
      <c r="J75" s="63"/>
      <c r="K75" s="63"/>
      <c r="L75" s="63"/>
      <c r="M75" s="63"/>
      <c r="N75" s="63"/>
      <c r="O75" s="63"/>
      <c r="P75" s="63"/>
      <c r="Q75" s="63"/>
      <c r="R75" s="64"/>
      <c r="S75" s="63"/>
      <c r="T75" s="63"/>
      <c r="U75" s="63"/>
      <c r="V75" s="63"/>
      <c r="W75" s="63"/>
      <c r="X75" s="63"/>
      <c r="Y75" s="63"/>
    </row>
    <row r="76" spans="1:25">
      <c r="A76" s="63"/>
      <c r="B76" s="63"/>
      <c r="C76" s="63"/>
      <c r="D76" s="63"/>
      <c r="E76" s="63"/>
      <c r="F76" s="63"/>
      <c r="G76" s="63"/>
      <c r="H76" s="63"/>
      <c r="I76" s="63"/>
      <c r="J76" s="63"/>
      <c r="K76" s="63"/>
      <c r="L76" s="63"/>
      <c r="M76" s="63"/>
      <c r="N76" s="63"/>
      <c r="O76" s="63"/>
      <c r="P76" s="63"/>
      <c r="Q76" s="63"/>
      <c r="R76" s="64"/>
      <c r="S76" s="63"/>
      <c r="T76" s="63"/>
      <c r="U76" s="63"/>
      <c r="V76" s="63"/>
      <c r="W76" s="63"/>
      <c r="X76" s="63"/>
      <c r="Y76" s="63"/>
    </row>
    <row r="77" spans="1:25">
      <c r="A77" s="63"/>
      <c r="B77" s="63"/>
      <c r="C77" s="63"/>
      <c r="D77" s="63"/>
      <c r="E77" s="63"/>
      <c r="F77" s="63"/>
      <c r="G77" s="63"/>
      <c r="H77" s="63"/>
      <c r="I77" s="63"/>
      <c r="J77" s="63"/>
      <c r="K77" s="63"/>
      <c r="L77" s="63"/>
      <c r="M77" s="63"/>
      <c r="N77" s="63"/>
      <c r="O77" s="63"/>
      <c r="P77" s="63"/>
      <c r="Q77" s="63"/>
      <c r="R77" s="64"/>
      <c r="S77" s="63"/>
      <c r="T77" s="63"/>
      <c r="U77" s="63"/>
      <c r="V77" s="63"/>
      <c r="W77" s="63"/>
      <c r="X77" s="63"/>
      <c r="Y77" s="63"/>
    </row>
    <row r="78" spans="1:25">
      <c r="A78" s="63"/>
      <c r="B78" s="63"/>
      <c r="C78" s="63"/>
      <c r="D78" s="63"/>
      <c r="E78" s="63"/>
      <c r="F78" s="63"/>
      <c r="G78" s="63"/>
      <c r="H78" s="63"/>
      <c r="I78" s="63"/>
      <c r="J78" s="63"/>
      <c r="K78" s="63"/>
      <c r="L78" s="63"/>
      <c r="M78" s="63"/>
      <c r="N78" s="63"/>
      <c r="O78" s="63"/>
      <c r="P78" s="63"/>
      <c r="Q78" s="63"/>
      <c r="R78" s="64"/>
      <c r="S78" s="63"/>
      <c r="T78" s="63"/>
      <c r="U78" s="63"/>
      <c r="V78" s="63"/>
      <c r="W78" s="63"/>
      <c r="X78" s="63"/>
      <c r="Y78" s="63"/>
    </row>
    <row r="79" spans="1:25">
      <c r="A79" s="63"/>
      <c r="B79" s="63"/>
      <c r="C79" s="63"/>
      <c r="D79" s="63"/>
      <c r="E79" s="63"/>
      <c r="F79" s="63"/>
      <c r="G79" s="63"/>
      <c r="H79" s="63"/>
      <c r="I79" s="63"/>
      <c r="J79" s="63"/>
      <c r="K79" s="63"/>
      <c r="L79" s="63"/>
      <c r="M79" s="63"/>
      <c r="N79" s="63"/>
      <c r="O79" s="63"/>
      <c r="P79" s="63"/>
      <c r="Q79" s="63"/>
      <c r="R79" s="64"/>
      <c r="S79" s="63"/>
      <c r="T79" s="63"/>
      <c r="U79" s="63"/>
      <c r="V79" s="63"/>
      <c r="W79" s="63"/>
      <c r="X79" s="63"/>
      <c r="Y79" s="63"/>
    </row>
    <row r="80" spans="1:25">
      <c r="A80" s="63"/>
      <c r="B80" s="63"/>
      <c r="C80" s="63"/>
      <c r="D80" s="63"/>
      <c r="E80" s="63"/>
      <c r="F80" s="63"/>
      <c r="G80" s="63"/>
      <c r="H80" s="63"/>
      <c r="I80" s="63"/>
      <c r="J80" s="63"/>
      <c r="K80" s="63"/>
      <c r="L80" s="63"/>
      <c r="M80" s="63"/>
      <c r="N80" s="63"/>
      <c r="O80" s="63"/>
      <c r="P80" s="63"/>
      <c r="Q80" s="63"/>
      <c r="R80" s="64"/>
      <c r="S80" s="63"/>
      <c r="T80" s="63"/>
      <c r="U80" s="63"/>
      <c r="V80" s="63"/>
      <c r="W80" s="63"/>
      <c r="X80" s="63"/>
      <c r="Y80" s="63"/>
    </row>
    <row r="81" spans="1:25">
      <c r="A81" s="63"/>
      <c r="B81" s="63"/>
      <c r="C81" s="63"/>
      <c r="D81" s="63"/>
      <c r="E81" s="63"/>
      <c r="F81" s="63"/>
      <c r="G81" s="63"/>
      <c r="H81" s="63"/>
      <c r="I81" s="63"/>
      <c r="J81" s="63"/>
      <c r="K81" s="63"/>
      <c r="L81" s="63"/>
      <c r="M81" s="63"/>
      <c r="N81" s="63"/>
      <c r="O81" s="63"/>
      <c r="P81" s="63"/>
      <c r="Q81" s="63"/>
      <c r="R81" s="64"/>
      <c r="S81" s="63"/>
      <c r="T81" s="63"/>
      <c r="U81" s="63"/>
      <c r="V81" s="63"/>
      <c r="W81" s="63"/>
      <c r="X81" s="63"/>
      <c r="Y81" s="63"/>
    </row>
    <row r="82" spans="1:25">
      <c r="A82" s="63"/>
      <c r="B82" s="63"/>
      <c r="C82" s="63"/>
      <c r="D82" s="63"/>
      <c r="E82" s="63"/>
      <c r="F82" s="63"/>
      <c r="G82" s="63"/>
      <c r="H82" s="63"/>
      <c r="I82" s="63"/>
      <c r="J82" s="63"/>
      <c r="K82" s="63"/>
      <c r="L82" s="63"/>
      <c r="M82" s="63"/>
      <c r="N82" s="63"/>
      <c r="O82" s="63"/>
      <c r="P82" s="63"/>
      <c r="Q82" s="63"/>
      <c r="R82" s="64"/>
      <c r="S82" s="63"/>
      <c r="T82" s="63"/>
      <c r="U82" s="63"/>
      <c r="V82" s="63"/>
      <c r="W82" s="63"/>
      <c r="X82" s="63"/>
      <c r="Y82" s="63"/>
    </row>
  </sheetData>
  <sheetProtection algorithmName="SHA-512" hashValue="PtHRDF3ixbq69O5p07ZHgc8yz/QxZmUzYJhdP6duYDcF/0In5TKZPbKsPFoNvaItugNVtvI/iYH816VLbwlmIA==" saltValue="s6wRH5XmhlMyKiadAQjk2A==" spinCount="100000" sheet="1" selectLockedCells="1"/>
  <protectedRanges>
    <protectedRange sqref="E37:F39" name="Range15"/>
    <protectedRange sqref="L37:M39" name="Range14"/>
    <protectedRange sqref="O35:Q35" name="Range13_1"/>
    <protectedRange sqref="F8:J8 E7 C7:D8 M10 M25 R22 R25 N7:O7 I7:J7 R9:R10 K7:M8 Q7:R8 N8:P8" name="Range1"/>
    <protectedRange sqref="R15:R17" name="Range3"/>
    <protectedRange sqref="R19:R21 F22:L22 G27:L27" name="Range5"/>
    <protectedRange sqref="I30" name="Range8_1"/>
    <protectedRange sqref="I31:I32" name="Range9"/>
    <protectedRange sqref="E34:G34" name="Range10"/>
    <protectedRange sqref="P34" name="Range11"/>
    <protectedRange sqref="O35:Q35" name="Range12_1"/>
    <protectedRange sqref="N22 N27" name="Range5_4_1"/>
    <protectedRange sqref="A46" name="Range1_2"/>
  </protectedRanges>
  <mergeCells count="51">
    <mergeCell ref="B10:M10"/>
    <mergeCell ref="N10:Q10"/>
    <mergeCell ref="B4:R4"/>
    <mergeCell ref="B7:F7"/>
    <mergeCell ref="N7:Q7"/>
    <mergeCell ref="G8:J8"/>
    <mergeCell ref="B9:D9"/>
    <mergeCell ref="N11:Q11"/>
    <mergeCell ref="N12:Q12"/>
    <mergeCell ref="T12:X12"/>
    <mergeCell ref="B14:E14"/>
    <mergeCell ref="F14:K14"/>
    <mergeCell ref="L14:Q14"/>
    <mergeCell ref="T16:X16"/>
    <mergeCell ref="B15:E15"/>
    <mergeCell ref="F15:G15"/>
    <mergeCell ref="H15:K15"/>
    <mergeCell ref="L15:M15"/>
    <mergeCell ref="N15:Q15"/>
    <mergeCell ref="T15:X15"/>
    <mergeCell ref="B16:E16"/>
    <mergeCell ref="F16:G16"/>
    <mergeCell ref="H16:K16"/>
    <mergeCell ref="L16:M16"/>
    <mergeCell ref="N16:Q16"/>
    <mergeCell ref="G21:L21"/>
    <mergeCell ref="M21:M22"/>
    <mergeCell ref="N21:Q22"/>
    <mergeCell ref="R21:R22"/>
    <mergeCell ref="G22:L22"/>
    <mergeCell ref="H17:K17"/>
    <mergeCell ref="N17:Q17"/>
    <mergeCell ref="S17:S20"/>
    <mergeCell ref="T17:X20"/>
    <mergeCell ref="B19:H19"/>
    <mergeCell ref="T33:X33"/>
    <mergeCell ref="H41:I41"/>
    <mergeCell ref="B24:G24"/>
    <mergeCell ref="G26:L26"/>
    <mergeCell ref="M26:M27"/>
    <mergeCell ref="N26:Q27"/>
    <mergeCell ref="R26:R27"/>
    <mergeCell ref="G27:L27"/>
    <mergeCell ref="H42:I42"/>
    <mergeCell ref="H43:I43"/>
    <mergeCell ref="K46:M46"/>
    <mergeCell ref="N46:R46"/>
    <mergeCell ref="B30:G30"/>
    <mergeCell ref="N30:Q30"/>
    <mergeCell ref="B33:F33"/>
    <mergeCell ref="N33:Q33"/>
  </mergeCells>
  <dataValidations count="1">
    <dataValidation type="list" allowBlank="1" showErrorMessage="1" errorTitle="Incorrect input" error="Please click the arrow and select your road type" prompt="Select your road type" sqref="WVV983047:WVY983047 JJ7:JM7 TF7:TI7 ADB7:ADE7 AMX7:ANA7 AWT7:AWW7 BGP7:BGS7 BQL7:BQO7 CAH7:CAK7 CKD7:CKG7 CTZ7:CUC7 DDV7:DDY7 DNR7:DNU7 DXN7:DXQ7 EHJ7:EHM7 ERF7:ERI7 FBB7:FBE7 FKX7:FLA7 FUT7:FUW7 GEP7:GES7 GOL7:GOO7 GYH7:GYK7 HID7:HIG7 HRZ7:HSC7 IBV7:IBY7 ILR7:ILU7 IVN7:IVQ7 JFJ7:JFM7 JPF7:JPI7 JZB7:JZE7 KIX7:KJA7 KST7:KSW7 LCP7:LCS7 LML7:LMO7 LWH7:LWK7 MGD7:MGG7 MPZ7:MQC7 MZV7:MZY7 NJR7:NJU7 NTN7:NTQ7 ODJ7:ODM7 ONF7:ONI7 OXB7:OXE7 PGX7:PHA7 PQT7:PQW7 QAP7:QAS7 QKL7:QKO7 QUH7:QUK7 RED7:REG7 RNZ7:ROC7 RXV7:RXY7 SHR7:SHU7 SRN7:SRQ7 TBJ7:TBM7 TLF7:TLI7 TVB7:TVE7 UEX7:UFA7 UOT7:UOW7 UYP7:UYS7 VIL7:VIO7 VSH7:VSK7 WCD7:WCG7 WLZ7:WMC7 WVV7:WVY7 N65543:Q65543 JJ65543:JM65543 TF65543:TI65543 ADB65543:ADE65543 AMX65543:ANA65543 AWT65543:AWW65543 BGP65543:BGS65543 BQL65543:BQO65543 CAH65543:CAK65543 CKD65543:CKG65543 CTZ65543:CUC65543 DDV65543:DDY65543 DNR65543:DNU65543 DXN65543:DXQ65543 EHJ65543:EHM65543 ERF65543:ERI65543 FBB65543:FBE65543 FKX65543:FLA65543 FUT65543:FUW65543 GEP65543:GES65543 GOL65543:GOO65543 GYH65543:GYK65543 HID65543:HIG65543 HRZ65543:HSC65543 IBV65543:IBY65543 ILR65543:ILU65543 IVN65543:IVQ65543 JFJ65543:JFM65543 JPF65543:JPI65543 JZB65543:JZE65543 KIX65543:KJA65543 KST65543:KSW65543 LCP65543:LCS65543 LML65543:LMO65543 LWH65543:LWK65543 MGD65543:MGG65543 MPZ65543:MQC65543 MZV65543:MZY65543 NJR65543:NJU65543 NTN65543:NTQ65543 ODJ65543:ODM65543 ONF65543:ONI65543 OXB65543:OXE65543 PGX65543:PHA65543 PQT65543:PQW65543 QAP65543:QAS65543 QKL65543:QKO65543 QUH65543:QUK65543 RED65543:REG65543 RNZ65543:ROC65543 RXV65543:RXY65543 SHR65543:SHU65543 SRN65543:SRQ65543 TBJ65543:TBM65543 TLF65543:TLI65543 TVB65543:TVE65543 UEX65543:UFA65543 UOT65543:UOW65543 UYP65543:UYS65543 VIL65543:VIO65543 VSH65543:VSK65543 WCD65543:WCG65543 WLZ65543:WMC65543 WVV65543:WVY65543 N131079:Q131079 JJ131079:JM131079 TF131079:TI131079 ADB131079:ADE131079 AMX131079:ANA131079 AWT131079:AWW131079 BGP131079:BGS131079 BQL131079:BQO131079 CAH131079:CAK131079 CKD131079:CKG131079 CTZ131079:CUC131079 DDV131079:DDY131079 DNR131079:DNU131079 DXN131079:DXQ131079 EHJ131079:EHM131079 ERF131079:ERI131079 FBB131079:FBE131079 FKX131079:FLA131079 FUT131079:FUW131079 GEP131079:GES131079 GOL131079:GOO131079 GYH131079:GYK131079 HID131079:HIG131079 HRZ131079:HSC131079 IBV131079:IBY131079 ILR131079:ILU131079 IVN131079:IVQ131079 JFJ131079:JFM131079 JPF131079:JPI131079 JZB131079:JZE131079 KIX131079:KJA131079 KST131079:KSW131079 LCP131079:LCS131079 LML131079:LMO131079 LWH131079:LWK131079 MGD131079:MGG131079 MPZ131079:MQC131079 MZV131079:MZY131079 NJR131079:NJU131079 NTN131079:NTQ131079 ODJ131079:ODM131079 ONF131079:ONI131079 OXB131079:OXE131079 PGX131079:PHA131079 PQT131079:PQW131079 QAP131079:QAS131079 QKL131079:QKO131079 QUH131079:QUK131079 RED131079:REG131079 RNZ131079:ROC131079 RXV131079:RXY131079 SHR131079:SHU131079 SRN131079:SRQ131079 TBJ131079:TBM131079 TLF131079:TLI131079 TVB131079:TVE131079 UEX131079:UFA131079 UOT131079:UOW131079 UYP131079:UYS131079 VIL131079:VIO131079 VSH131079:VSK131079 WCD131079:WCG131079 WLZ131079:WMC131079 WVV131079:WVY131079 N196615:Q196615 JJ196615:JM196615 TF196615:TI196615 ADB196615:ADE196615 AMX196615:ANA196615 AWT196615:AWW196615 BGP196615:BGS196615 BQL196615:BQO196615 CAH196615:CAK196615 CKD196615:CKG196615 CTZ196615:CUC196615 DDV196615:DDY196615 DNR196615:DNU196615 DXN196615:DXQ196615 EHJ196615:EHM196615 ERF196615:ERI196615 FBB196615:FBE196615 FKX196615:FLA196615 FUT196615:FUW196615 GEP196615:GES196615 GOL196615:GOO196615 GYH196615:GYK196615 HID196615:HIG196615 HRZ196615:HSC196615 IBV196615:IBY196615 ILR196615:ILU196615 IVN196615:IVQ196615 JFJ196615:JFM196615 JPF196615:JPI196615 JZB196615:JZE196615 KIX196615:KJA196615 KST196615:KSW196615 LCP196615:LCS196615 LML196615:LMO196615 LWH196615:LWK196615 MGD196615:MGG196615 MPZ196615:MQC196615 MZV196615:MZY196615 NJR196615:NJU196615 NTN196615:NTQ196615 ODJ196615:ODM196615 ONF196615:ONI196615 OXB196615:OXE196615 PGX196615:PHA196615 PQT196615:PQW196615 QAP196615:QAS196615 QKL196615:QKO196615 QUH196615:QUK196615 RED196615:REG196615 RNZ196615:ROC196615 RXV196615:RXY196615 SHR196615:SHU196615 SRN196615:SRQ196615 TBJ196615:TBM196615 TLF196615:TLI196615 TVB196615:TVE196615 UEX196615:UFA196615 UOT196615:UOW196615 UYP196615:UYS196615 VIL196615:VIO196615 VSH196615:VSK196615 WCD196615:WCG196615 WLZ196615:WMC196615 WVV196615:WVY196615 N262151:Q262151 JJ262151:JM262151 TF262151:TI262151 ADB262151:ADE262151 AMX262151:ANA262151 AWT262151:AWW262151 BGP262151:BGS262151 BQL262151:BQO262151 CAH262151:CAK262151 CKD262151:CKG262151 CTZ262151:CUC262151 DDV262151:DDY262151 DNR262151:DNU262151 DXN262151:DXQ262151 EHJ262151:EHM262151 ERF262151:ERI262151 FBB262151:FBE262151 FKX262151:FLA262151 FUT262151:FUW262151 GEP262151:GES262151 GOL262151:GOO262151 GYH262151:GYK262151 HID262151:HIG262151 HRZ262151:HSC262151 IBV262151:IBY262151 ILR262151:ILU262151 IVN262151:IVQ262151 JFJ262151:JFM262151 JPF262151:JPI262151 JZB262151:JZE262151 KIX262151:KJA262151 KST262151:KSW262151 LCP262151:LCS262151 LML262151:LMO262151 LWH262151:LWK262151 MGD262151:MGG262151 MPZ262151:MQC262151 MZV262151:MZY262151 NJR262151:NJU262151 NTN262151:NTQ262151 ODJ262151:ODM262151 ONF262151:ONI262151 OXB262151:OXE262151 PGX262151:PHA262151 PQT262151:PQW262151 QAP262151:QAS262151 QKL262151:QKO262151 QUH262151:QUK262151 RED262151:REG262151 RNZ262151:ROC262151 RXV262151:RXY262151 SHR262151:SHU262151 SRN262151:SRQ262151 TBJ262151:TBM262151 TLF262151:TLI262151 TVB262151:TVE262151 UEX262151:UFA262151 UOT262151:UOW262151 UYP262151:UYS262151 VIL262151:VIO262151 VSH262151:VSK262151 WCD262151:WCG262151 WLZ262151:WMC262151 WVV262151:WVY262151 N327687:Q327687 JJ327687:JM327687 TF327687:TI327687 ADB327687:ADE327687 AMX327687:ANA327687 AWT327687:AWW327687 BGP327687:BGS327687 BQL327687:BQO327687 CAH327687:CAK327687 CKD327687:CKG327687 CTZ327687:CUC327687 DDV327687:DDY327687 DNR327687:DNU327687 DXN327687:DXQ327687 EHJ327687:EHM327687 ERF327687:ERI327687 FBB327687:FBE327687 FKX327687:FLA327687 FUT327687:FUW327687 GEP327687:GES327687 GOL327687:GOO327687 GYH327687:GYK327687 HID327687:HIG327687 HRZ327687:HSC327687 IBV327687:IBY327687 ILR327687:ILU327687 IVN327687:IVQ327687 JFJ327687:JFM327687 JPF327687:JPI327687 JZB327687:JZE327687 KIX327687:KJA327687 KST327687:KSW327687 LCP327687:LCS327687 LML327687:LMO327687 LWH327687:LWK327687 MGD327687:MGG327687 MPZ327687:MQC327687 MZV327687:MZY327687 NJR327687:NJU327687 NTN327687:NTQ327687 ODJ327687:ODM327687 ONF327687:ONI327687 OXB327687:OXE327687 PGX327687:PHA327687 PQT327687:PQW327687 QAP327687:QAS327687 QKL327687:QKO327687 QUH327687:QUK327687 RED327687:REG327687 RNZ327687:ROC327687 RXV327687:RXY327687 SHR327687:SHU327687 SRN327687:SRQ327687 TBJ327687:TBM327687 TLF327687:TLI327687 TVB327687:TVE327687 UEX327687:UFA327687 UOT327687:UOW327687 UYP327687:UYS327687 VIL327687:VIO327687 VSH327687:VSK327687 WCD327687:WCG327687 WLZ327687:WMC327687 WVV327687:WVY327687 N393223:Q393223 JJ393223:JM393223 TF393223:TI393223 ADB393223:ADE393223 AMX393223:ANA393223 AWT393223:AWW393223 BGP393223:BGS393223 BQL393223:BQO393223 CAH393223:CAK393223 CKD393223:CKG393223 CTZ393223:CUC393223 DDV393223:DDY393223 DNR393223:DNU393223 DXN393223:DXQ393223 EHJ393223:EHM393223 ERF393223:ERI393223 FBB393223:FBE393223 FKX393223:FLA393223 FUT393223:FUW393223 GEP393223:GES393223 GOL393223:GOO393223 GYH393223:GYK393223 HID393223:HIG393223 HRZ393223:HSC393223 IBV393223:IBY393223 ILR393223:ILU393223 IVN393223:IVQ393223 JFJ393223:JFM393223 JPF393223:JPI393223 JZB393223:JZE393223 KIX393223:KJA393223 KST393223:KSW393223 LCP393223:LCS393223 LML393223:LMO393223 LWH393223:LWK393223 MGD393223:MGG393223 MPZ393223:MQC393223 MZV393223:MZY393223 NJR393223:NJU393223 NTN393223:NTQ393223 ODJ393223:ODM393223 ONF393223:ONI393223 OXB393223:OXE393223 PGX393223:PHA393223 PQT393223:PQW393223 QAP393223:QAS393223 QKL393223:QKO393223 QUH393223:QUK393223 RED393223:REG393223 RNZ393223:ROC393223 RXV393223:RXY393223 SHR393223:SHU393223 SRN393223:SRQ393223 TBJ393223:TBM393223 TLF393223:TLI393223 TVB393223:TVE393223 UEX393223:UFA393223 UOT393223:UOW393223 UYP393223:UYS393223 VIL393223:VIO393223 VSH393223:VSK393223 WCD393223:WCG393223 WLZ393223:WMC393223 WVV393223:WVY393223 N458759:Q458759 JJ458759:JM458759 TF458759:TI458759 ADB458759:ADE458759 AMX458759:ANA458759 AWT458759:AWW458759 BGP458759:BGS458759 BQL458759:BQO458759 CAH458759:CAK458759 CKD458759:CKG458759 CTZ458759:CUC458759 DDV458759:DDY458759 DNR458759:DNU458759 DXN458759:DXQ458759 EHJ458759:EHM458759 ERF458759:ERI458759 FBB458759:FBE458759 FKX458759:FLA458759 FUT458759:FUW458759 GEP458759:GES458759 GOL458759:GOO458759 GYH458759:GYK458759 HID458759:HIG458759 HRZ458759:HSC458759 IBV458759:IBY458759 ILR458759:ILU458759 IVN458759:IVQ458759 JFJ458759:JFM458759 JPF458759:JPI458759 JZB458759:JZE458759 KIX458759:KJA458759 KST458759:KSW458759 LCP458759:LCS458759 LML458759:LMO458759 LWH458759:LWK458759 MGD458759:MGG458759 MPZ458759:MQC458759 MZV458759:MZY458759 NJR458759:NJU458759 NTN458759:NTQ458759 ODJ458759:ODM458759 ONF458759:ONI458759 OXB458759:OXE458759 PGX458759:PHA458759 PQT458759:PQW458759 QAP458759:QAS458759 QKL458759:QKO458759 QUH458759:QUK458759 RED458759:REG458759 RNZ458759:ROC458759 RXV458759:RXY458759 SHR458759:SHU458759 SRN458759:SRQ458759 TBJ458759:TBM458759 TLF458759:TLI458759 TVB458759:TVE458759 UEX458759:UFA458759 UOT458759:UOW458759 UYP458759:UYS458759 VIL458759:VIO458759 VSH458759:VSK458759 WCD458759:WCG458759 WLZ458759:WMC458759 WVV458759:WVY458759 N524295:Q524295 JJ524295:JM524295 TF524295:TI524295 ADB524295:ADE524295 AMX524295:ANA524295 AWT524295:AWW524295 BGP524295:BGS524295 BQL524295:BQO524295 CAH524295:CAK524295 CKD524295:CKG524295 CTZ524295:CUC524295 DDV524295:DDY524295 DNR524295:DNU524295 DXN524295:DXQ524295 EHJ524295:EHM524295 ERF524295:ERI524295 FBB524295:FBE524295 FKX524295:FLA524295 FUT524295:FUW524295 GEP524295:GES524295 GOL524295:GOO524295 GYH524295:GYK524295 HID524295:HIG524295 HRZ524295:HSC524295 IBV524295:IBY524295 ILR524295:ILU524295 IVN524295:IVQ524295 JFJ524295:JFM524295 JPF524295:JPI524295 JZB524295:JZE524295 KIX524295:KJA524295 KST524295:KSW524295 LCP524295:LCS524295 LML524295:LMO524295 LWH524295:LWK524295 MGD524295:MGG524295 MPZ524295:MQC524295 MZV524295:MZY524295 NJR524295:NJU524295 NTN524295:NTQ524295 ODJ524295:ODM524295 ONF524295:ONI524295 OXB524295:OXE524295 PGX524295:PHA524295 PQT524295:PQW524295 QAP524295:QAS524295 QKL524295:QKO524295 QUH524295:QUK524295 RED524295:REG524295 RNZ524295:ROC524295 RXV524295:RXY524295 SHR524295:SHU524295 SRN524295:SRQ524295 TBJ524295:TBM524295 TLF524295:TLI524295 TVB524295:TVE524295 UEX524295:UFA524295 UOT524295:UOW524295 UYP524295:UYS524295 VIL524295:VIO524295 VSH524295:VSK524295 WCD524295:WCG524295 WLZ524295:WMC524295 WVV524295:WVY524295 N589831:Q589831 JJ589831:JM589831 TF589831:TI589831 ADB589831:ADE589831 AMX589831:ANA589831 AWT589831:AWW589831 BGP589831:BGS589831 BQL589831:BQO589831 CAH589831:CAK589831 CKD589831:CKG589831 CTZ589831:CUC589831 DDV589831:DDY589831 DNR589831:DNU589831 DXN589831:DXQ589831 EHJ589831:EHM589831 ERF589831:ERI589831 FBB589831:FBE589831 FKX589831:FLA589831 FUT589831:FUW589831 GEP589831:GES589831 GOL589831:GOO589831 GYH589831:GYK589831 HID589831:HIG589831 HRZ589831:HSC589831 IBV589831:IBY589831 ILR589831:ILU589831 IVN589831:IVQ589831 JFJ589831:JFM589831 JPF589831:JPI589831 JZB589831:JZE589831 KIX589831:KJA589831 KST589831:KSW589831 LCP589831:LCS589831 LML589831:LMO589831 LWH589831:LWK589831 MGD589831:MGG589831 MPZ589831:MQC589831 MZV589831:MZY589831 NJR589831:NJU589831 NTN589831:NTQ589831 ODJ589831:ODM589831 ONF589831:ONI589831 OXB589831:OXE589831 PGX589831:PHA589831 PQT589831:PQW589831 QAP589831:QAS589831 QKL589831:QKO589831 QUH589831:QUK589831 RED589831:REG589831 RNZ589831:ROC589831 RXV589831:RXY589831 SHR589831:SHU589831 SRN589831:SRQ589831 TBJ589831:TBM589831 TLF589831:TLI589831 TVB589831:TVE589831 UEX589831:UFA589831 UOT589831:UOW589831 UYP589831:UYS589831 VIL589831:VIO589831 VSH589831:VSK589831 WCD589831:WCG589831 WLZ589831:WMC589831 WVV589831:WVY589831 N655367:Q655367 JJ655367:JM655367 TF655367:TI655367 ADB655367:ADE655367 AMX655367:ANA655367 AWT655367:AWW655367 BGP655367:BGS655367 BQL655367:BQO655367 CAH655367:CAK655367 CKD655367:CKG655367 CTZ655367:CUC655367 DDV655367:DDY655367 DNR655367:DNU655367 DXN655367:DXQ655367 EHJ655367:EHM655367 ERF655367:ERI655367 FBB655367:FBE655367 FKX655367:FLA655367 FUT655367:FUW655367 GEP655367:GES655367 GOL655367:GOO655367 GYH655367:GYK655367 HID655367:HIG655367 HRZ655367:HSC655367 IBV655367:IBY655367 ILR655367:ILU655367 IVN655367:IVQ655367 JFJ655367:JFM655367 JPF655367:JPI655367 JZB655367:JZE655367 KIX655367:KJA655367 KST655367:KSW655367 LCP655367:LCS655367 LML655367:LMO655367 LWH655367:LWK655367 MGD655367:MGG655367 MPZ655367:MQC655367 MZV655367:MZY655367 NJR655367:NJU655367 NTN655367:NTQ655367 ODJ655367:ODM655367 ONF655367:ONI655367 OXB655367:OXE655367 PGX655367:PHA655367 PQT655367:PQW655367 QAP655367:QAS655367 QKL655367:QKO655367 QUH655367:QUK655367 RED655367:REG655367 RNZ655367:ROC655367 RXV655367:RXY655367 SHR655367:SHU655367 SRN655367:SRQ655367 TBJ655367:TBM655367 TLF655367:TLI655367 TVB655367:TVE655367 UEX655367:UFA655367 UOT655367:UOW655367 UYP655367:UYS655367 VIL655367:VIO655367 VSH655367:VSK655367 WCD655367:WCG655367 WLZ655367:WMC655367 WVV655367:WVY655367 N720903:Q720903 JJ720903:JM720903 TF720903:TI720903 ADB720903:ADE720903 AMX720903:ANA720903 AWT720903:AWW720903 BGP720903:BGS720903 BQL720903:BQO720903 CAH720903:CAK720903 CKD720903:CKG720903 CTZ720903:CUC720903 DDV720903:DDY720903 DNR720903:DNU720903 DXN720903:DXQ720903 EHJ720903:EHM720903 ERF720903:ERI720903 FBB720903:FBE720903 FKX720903:FLA720903 FUT720903:FUW720903 GEP720903:GES720903 GOL720903:GOO720903 GYH720903:GYK720903 HID720903:HIG720903 HRZ720903:HSC720903 IBV720903:IBY720903 ILR720903:ILU720903 IVN720903:IVQ720903 JFJ720903:JFM720903 JPF720903:JPI720903 JZB720903:JZE720903 KIX720903:KJA720903 KST720903:KSW720903 LCP720903:LCS720903 LML720903:LMO720903 LWH720903:LWK720903 MGD720903:MGG720903 MPZ720903:MQC720903 MZV720903:MZY720903 NJR720903:NJU720903 NTN720903:NTQ720903 ODJ720903:ODM720903 ONF720903:ONI720903 OXB720903:OXE720903 PGX720903:PHA720903 PQT720903:PQW720903 QAP720903:QAS720903 QKL720903:QKO720903 QUH720903:QUK720903 RED720903:REG720903 RNZ720903:ROC720903 RXV720903:RXY720903 SHR720903:SHU720903 SRN720903:SRQ720903 TBJ720903:TBM720903 TLF720903:TLI720903 TVB720903:TVE720903 UEX720903:UFA720903 UOT720903:UOW720903 UYP720903:UYS720903 VIL720903:VIO720903 VSH720903:VSK720903 WCD720903:WCG720903 WLZ720903:WMC720903 WVV720903:WVY720903 N786439:Q786439 JJ786439:JM786439 TF786439:TI786439 ADB786439:ADE786439 AMX786439:ANA786439 AWT786439:AWW786439 BGP786439:BGS786439 BQL786439:BQO786439 CAH786439:CAK786439 CKD786439:CKG786439 CTZ786439:CUC786439 DDV786439:DDY786439 DNR786439:DNU786439 DXN786439:DXQ786439 EHJ786439:EHM786439 ERF786439:ERI786439 FBB786439:FBE786439 FKX786439:FLA786439 FUT786439:FUW786439 GEP786439:GES786439 GOL786439:GOO786439 GYH786439:GYK786439 HID786439:HIG786439 HRZ786439:HSC786439 IBV786439:IBY786439 ILR786439:ILU786439 IVN786439:IVQ786439 JFJ786439:JFM786439 JPF786439:JPI786439 JZB786439:JZE786439 KIX786439:KJA786439 KST786439:KSW786439 LCP786439:LCS786439 LML786439:LMO786439 LWH786439:LWK786439 MGD786439:MGG786439 MPZ786439:MQC786439 MZV786439:MZY786439 NJR786439:NJU786439 NTN786439:NTQ786439 ODJ786439:ODM786439 ONF786439:ONI786439 OXB786439:OXE786439 PGX786439:PHA786439 PQT786439:PQW786439 QAP786439:QAS786439 QKL786439:QKO786439 QUH786439:QUK786439 RED786439:REG786439 RNZ786439:ROC786439 RXV786439:RXY786439 SHR786439:SHU786439 SRN786439:SRQ786439 TBJ786439:TBM786439 TLF786439:TLI786439 TVB786439:TVE786439 UEX786439:UFA786439 UOT786439:UOW786439 UYP786439:UYS786439 VIL786439:VIO786439 VSH786439:VSK786439 WCD786439:WCG786439 WLZ786439:WMC786439 WVV786439:WVY786439 N851975:Q851975 JJ851975:JM851975 TF851975:TI851975 ADB851975:ADE851975 AMX851975:ANA851975 AWT851975:AWW851975 BGP851975:BGS851975 BQL851975:BQO851975 CAH851975:CAK851975 CKD851975:CKG851975 CTZ851975:CUC851975 DDV851975:DDY851975 DNR851975:DNU851975 DXN851975:DXQ851975 EHJ851975:EHM851975 ERF851975:ERI851975 FBB851975:FBE851975 FKX851975:FLA851975 FUT851975:FUW851975 GEP851975:GES851975 GOL851975:GOO851975 GYH851975:GYK851975 HID851975:HIG851975 HRZ851975:HSC851975 IBV851975:IBY851975 ILR851975:ILU851975 IVN851975:IVQ851975 JFJ851975:JFM851975 JPF851975:JPI851975 JZB851975:JZE851975 KIX851975:KJA851975 KST851975:KSW851975 LCP851975:LCS851975 LML851975:LMO851975 LWH851975:LWK851975 MGD851975:MGG851975 MPZ851975:MQC851975 MZV851975:MZY851975 NJR851975:NJU851975 NTN851975:NTQ851975 ODJ851975:ODM851975 ONF851975:ONI851975 OXB851975:OXE851975 PGX851975:PHA851975 PQT851975:PQW851975 QAP851975:QAS851975 QKL851975:QKO851975 QUH851975:QUK851975 RED851975:REG851975 RNZ851975:ROC851975 RXV851975:RXY851975 SHR851975:SHU851975 SRN851975:SRQ851975 TBJ851975:TBM851975 TLF851975:TLI851975 TVB851975:TVE851975 UEX851975:UFA851975 UOT851975:UOW851975 UYP851975:UYS851975 VIL851975:VIO851975 VSH851975:VSK851975 WCD851975:WCG851975 WLZ851975:WMC851975 WVV851975:WVY851975 N917511:Q917511 JJ917511:JM917511 TF917511:TI917511 ADB917511:ADE917511 AMX917511:ANA917511 AWT917511:AWW917511 BGP917511:BGS917511 BQL917511:BQO917511 CAH917511:CAK917511 CKD917511:CKG917511 CTZ917511:CUC917511 DDV917511:DDY917511 DNR917511:DNU917511 DXN917511:DXQ917511 EHJ917511:EHM917511 ERF917511:ERI917511 FBB917511:FBE917511 FKX917511:FLA917511 FUT917511:FUW917511 GEP917511:GES917511 GOL917511:GOO917511 GYH917511:GYK917511 HID917511:HIG917511 HRZ917511:HSC917511 IBV917511:IBY917511 ILR917511:ILU917511 IVN917511:IVQ917511 JFJ917511:JFM917511 JPF917511:JPI917511 JZB917511:JZE917511 KIX917511:KJA917511 KST917511:KSW917511 LCP917511:LCS917511 LML917511:LMO917511 LWH917511:LWK917511 MGD917511:MGG917511 MPZ917511:MQC917511 MZV917511:MZY917511 NJR917511:NJU917511 NTN917511:NTQ917511 ODJ917511:ODM917511 ONF917511:ONI917511 OXB917511:OXE917511 PGX917511:PHA917511 PQT917511:PQW917511 QAP917511:QAS917511 QKL917511:QKO917511 QUH917511:QUK917511 RED917511:REG917511 RNZ917511:ROC917511 RXV917511:RXY917511 SHR917511:SHU917511 SRN917511:SRQ917511 TBJ917511:TBM917511 TLF917511:TLI917511 TVB917511:TVE917511 UEX917511:UFA917511 UOT917511:UOW917511 UYP917511:UYS917511 VIL917511:VIO917511 VSH917511:VSK917511 WCD917511:WCG917511 WLZ917511:WMC917511 WVV917511:WVY917511 N983047:Q983047 JJ983047:JM983047 TF983047:TI983047 ADB983047:ADE983047 AMX983047:ANA983047 AWT983047:AWW983047 BGP983047:BGS983047 BQL983047:BQO983047 CAH983047:CAK983047 CKD983047:CKG983047 CTZ983047:CUC983047 DDV983047:DDY983047 DNR983047:DNU983047 DXN983047:DXQ983047 EHJ983047:EHM983047 ERF983047:ERI983047 FBB983047:FBE983047 FKX983047:FLA983047 FUT983047:FUW983047 GEP983047:GES983047 GOL983047:GOO983047 GYH983047:GYK983047 HID983047:HIG983047 HRZ983047:HSC983047 IBV983047:IBY983047 ILR983047:ILU983047 IVN983047:IVQ983047 JFJ983047:JFM983047 JPF983047:JPI983047 JZB983047:JZE983047 KIX983047:KJA983047 KST983047:KSW983047 LCP983047:LCS983047 LML983047:LMO983047 LWH983047:LWK983047 MGD983047:MGG983047 MPZ983047:MQC983047 MZV983047:MZY983047 NJR983047:NJU983047 NTN983047:NTQ983047 ODJ983047:ODM983047 ONF983047:ONI983047 OXB983047:OXE983047 PGX983047:PHA983047 PQT983047:PQW983047 QAP983047:QAS983047 QKL983047:QKO983047 QUH983047:QUK983047 RED983047:REG983047 RNZ983047:ROC983047 RXV983047:RXY983047 SHR983047:SHU983047 SRN983047:SRQ983047 TBJ983047:TBM983047 TLF983047:TLI983047 TVB983047:TVE983047 UEX983047:UFA983047 UOT983047:UOW983047 UYP983047:UYS983047 VIL983047:VIO983047 VSH983047:VSK983047 WCD983047:WCG983047 WLZ983047:WMC983047 N7:Q7" xr:uid="{0E9BC1E0-89A4-4216-95B6-331730E8F129}">
      <formula1>$A$46:$A$51</formula1>
    </dataValidation>
  </dataValidations>
  <hyperlinks>
    <hyperlink ref="T12" r:id="rId1" display="https://www.nzta.govt.nz/assets/resources/economic-evaluation-manual/economic-evaluation-manual/docs/eem-manual-2016.pdf" xr:uid="{369011D1-C5A7-46D9-B3BE-ACDB0FB8D960}"/>
    <hyperlink ref="T17:X20" r:id="rId2" display="https://www.nzta.govt.nz/resources/monetised-benefits-and-costs-manual" xr:uid="{71FEA746-F0D6-4C99-8C8E-32520FFD7EFE}"/>
    <hyperlink ref="T12:X12" r:id="rId3" display="MBCM Manual - table A4.1(b)" xr:uid="{8D8F4DA2-6123-43D0-8D65-2AAD8E757118}"/>
  </hyperlinks>
  <printOptions horizontalCentered="1"/>
  <pageMargins left="0.74803149606299213" right="0.74803149606299213" top="0.98425196850393704" bottom="0.98425196850393704" header="0.51181102362204722" footer="0.51181102362204722"/>
  <pageSetup paperSize="9" scale="95" orientation="portrait" r:id="rId4"/>
  <headerFooter scaleWithDoc="0" alignWithMargins="0">
    <oddHeader>&amp;L&amp;"-,Regular"&amp;8&amp;F&amp;R&amp;"-,Regular"&amp;8&amp;A
______________________________________________________________________________</oddHeader>
    <oddFooter>&amp;L&amp;"-,Regular"&amp;8__________________________________________________________________________________
NZ Transport Agency’s Economic evaluation manual 
Effective from Jul 2013</oddFooter>
  </headerFooter>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5D1-5053-4C6B-95C1-126137646FF3}">
  <sheetPr>
    <pageSetUpPr fitToPage="1"/>
  </sheetPr>
  <dimension ref="A1:AE101"/>
  <sheetViews>
    <sheetView zoomScale="85" zoomScaleNormal="85" workbookViewId="0">
      <selection activeCell="G46" sqref="G46"/>
    </sheetView>
  </sheetViews>
  <sheetFormatPr defaultColWidth="7.69921875" defaultRowHeight="12.6"/>
  <cols>
    <col min="1" max="1" width="2.5" style="62" customWidth="1"/>
    <col min="2" max="2" width="5.19921875" style="61" customWidth="1"/>
    <col min="3" max="3" width="16" style="61" customWidth="1"/>
    <col min="4" max="4" width="8.69921875" style="61" customWidth="1"/>
    <col min="5" max="5" width="7.19921875" style="61" customWidth="1"/>
    <col min="6" max="6" width="15.796875" style="61" customWidth="1"/>
    <col min="7" max="7" width="9.19921875" style="61" customWidth="1"/>
    <col min="8" max="8" width="8.5" style="61" customWidth="1"/>
    <col min="9" max="9" width="13.19921875" style="61" customWidth="1"/>
    <col min="10" max="10" width="12" style="61" customWidth="1"/>
    <col min="11" max="11" width="10.296875" style="61" customWidth="1"/>
    <col min="12" max="12" width="13.69921875" style="61" customWidth="1"/>
    <col min="13" max="13" width="26.69921875" style="61" customWidth="1"/>
    <col min="14" max="16" width="13.69921875" style="61" customWidth="1"/>
    <col min="17" max="17" width="18" style="61" customWidth="1"/>
    <col min="18" max="27" width="7.69921875" style="61"/>
    <col min="28" max="31" width="7.69921875" style="61" hidden="1" customWidth="1"/>
    <col min="32" max="257" width="7.69921875" style="61"/>
    <col min="258" max="258" width="2.5" style="61" customWidth="1"/>
    <col min="259" max="259" width="7.296875" style="61" customWidth="1"/>
    <col min="260" max="260" width="8.296875" style="61" customWidth="1"/>
    <col min="261" max="261" width="4.796875" style="61" customWidth="1"/>
    <col min="262" max="262" width="8.296875" style="61" customWidth="1"/>
    <col min="263" max="263" width="16.19921875" style="61" customWidth="1"/>
    <col min="264" max="264" width="9.19921875" style="61" customWidth="1"/>
    <col min="265" max="265" width="7.796875" style="61" customWidth="1"/>
    <col min="266" max="266" width="10" style="61" customWidth="1"/>
    <col min="267" max="267" width="3.796875" style="61" customWidth="1"/>
    <col min="268" max="268" width="13.69921875" style="61" customWidth="1"/>
    <col min="269" max="269" width="26.69921875" style="61" customWidth="1"/>
    <col min="270" max="272" width="13.69921875" style="61" customWidth="1"/>
    <col min="273" max="273" width="18" style="61" customWidth="1"/>
    <col min="274" max="283" width="7.69921875" style="61"/>
    <col min="284" max="287" width="0" style="61" hidden="1" customWidth="1"/>
    <col min="288" max="513" width="7.69921875" style="61"/>
    <col min="514" max="514" width="2.5" style="61" customWidth="1"/>
    <col min="515" max="515" width="7.296875" style="61" customWidth="1"/>
    <col min="516" max="516" width="8.296875" style="61" customWidth="1"/>
    <col min="517" max="517" width="4.796875" style="61" customWidth="1"/>
    <col min="518" max="518" width="8.296875" style="61" customWidth="1"/>
    <col min="519" max="519" width="16.19921875" style="61" customWidth="1"/>
    <col min="520" max="520" width="9.19921875" style="61" customWidth="1"/>
    <col min="521" max="521" width="7.796875" style="61" customWidth="1"/>
    <col min="522" max="522" width="10" style="61" customWidth="1"/>
    <col min="523" max="523" width="3.796875" style="61" customWidth="1"/>
    <col min="524" max="524" width="13.69921875" style="61" customWidth="1"/>
    <col min="525" max="525" width="26.69921875" style="61" customWidth="1"/>
    <col min="526" max="528" width="13.69921875" style="61" customWidth="1"/>
    <col min="529" max="529" width="18" style="61" customWidth="1"/>
    <col min="530" max="539" width="7.69921875" style="61"/>
    <col min="540" max="543" width="0" style="61" hidden="1" customWidth="1"/>
    <col min="544" max="769" width="7.69921875" style="61"/>
    <col min="770" max="770" width="2.5" style="61" customWidth="1"/>
    <col min="771" max="771" width="7.296875" style="61" customWidth="1"/>
    <col min="772" max="772" width="8.296875" style="61" customWidth="1"/>
    <col min="773" max="773" width="4.796875" style="61" customWidth="1"/>
    <col min="774" max="774" width="8.296875" style="61" customWidth="1"/>
    <col min="775" max="775" width="16.19921875" style="61" customWidth="1"/>
    <col min="776" max="776" width="9.19921875" style="61" customWidth="1"/>
    <col min="777" max="777" width="7.796875" style="61" customWidth="1"/>
    <col min="778" max="778" width="10" style="61" customWidth="1"/>
    <col min="779" max="779" width="3.796875" style="61" customWidth="1"/>
    <col min="780" max="780" width="13.69921875" style="61" customWidth="1"/>
    <col min="781" max="781" width="26.69921875" style="61" customWidth="1"/>
    <col min="782" max="784" width="13.69921875" style="61" customWidth="1"/>
    <col min="785" max="785" width="18" style="61" customWidth="1"/>
    <col min="786" max="795" width="7.69921875" style="61"/>
    <col min="796" max="799" width="0" style="61" hidden="1" customWidth="1"/>
    <col min="800" max="1025" width="7.69921875" style="61"/>
    <col min="1026" max="1026" width="2.5" style="61" customWidth="1"/>
    <col min="1027" max="1027" width="7.296875" style="61" customWidth="1"/>
    <col min="1028" max="1028" width="8.296875" style="61" customWidth="1"/>
    <col min="1029" max="1029" width="4.796875" style="61" customWidth="1"/>
    <col min="1030" max="1030" width="8.296875" style="61" customWidth="1"/>
    <col min="1031" max="1031" width="16.19921875" style="61" customWidth="1"/>
    <col min="1032" max="1032" width="9.19921875" style="61" customWidth="1"/>
    <col min="1033" max="1033" width="7.796875" style="61" customWidth="1"/>
    <col min="1034" max="1034" width="10" style="61" customWidth="1"/>
    <col min="1035" max="1035" width="3.796875" style="61" customWidth="1"/>
    <col min="1036" max="1036" width="13.69921875" style="61" customWidth="1"/>
    <col min="1037" max="1037" width="26.69921875" style="61" customWidth="1"/>
    <col min="1038" max="1040" width="13.69921875" style="61" customWidth="1"/>
    <col min="1041" max="1041" width="18" style="61" customWidth="1"/>
    <col min="1042" max="1051" width="7.69921875" style="61"/>
    <col min="1052" max="1055" width="0" style="61" hidden="1" customWidth="1"/>
    <col min="1056" max="1281" width="7.69921875" style="61"/>
    <col min="1282" max="1282" width="2.5" style="61" customWidth="1"/>
    <col min="1283" max="1283" width="7.296875" style="61" customWidth="1"/>
    <col min="1284" max="1284" width="8.296875" style="61" customWidth="1"/>
    <col min="1285" max="1285" width="4.796875" style="61" customWidth="1"/>
    <col min="1286" max="1286" width="8.296875" style="61" customWidth="1"/>
    <col min="1287" max="1287" width="16.19921875" style="61" customWidth="1"/>
    <col min="1288" max="1288" width="9.19921875" style="61" customWidth="1"/>
    <col min="1289" max="1289" width="7.796875" style="61" customWidth="1"/>
    <col min="1290" max="1290" width="10" style="61" customWidth="1"/>
    <col min="1291" max="1291" width="3.796875" style="61" customWidth="1"/>
    <col min="1292" max="1292" width="13.69921875" style="61" customWidth="1"/>
    <col min="1293" max="1293" width="26.69921875" style="61" customWidth="1"/>
    <col min="1294" max="1296" width="13.69921875" style="61" customWidth="1"/>
    <col min="1297" max="1297" width="18" style="61" customWidth="1"/>
    <col min="1298" max="1307" width="7.69921875" style="61"/>
    <col min="1308" max="1311" width="0" style="61" hidden="1" customWidth="1"/>
    <col min="1312" max="1537" width="7.69921875" style="61"/>
    <col min="1538" max="1538" width="2.5" style="61" customWidth="1"/>
    <col min="1539" max="1539" width="7.296875" style="61" customWidth="1"/>
    <col min="1540" max="1540" width="8.296875" style="61" customWidth="1"/>
    <col min="1541" max="1541" width="4.796875" style="61" customWidth="1"/>
    <col min="1542" max="1542" width="8.296875" style="61" customWidth="1"/>
    <col min="1543" max="1543" width="16.19921875" style="61" customWidth="1"/>
    <col min="1544" max="1544" width="9.19921875" style="61" customWidth="1"/>
    <col min="1545" max="1545" width="7.796875" style="61" customWidth="1"/>
    <col min="1546" max="1546" width="10" style="61" customWidth="1"/>
    <col min="1547" max="1547" width="3.796875" style="61" customWidth="1"/>
    <col min="1548" max="1548" width="13.69921875" style="61" customWidth="1"/>
    <col min="1549" max="1549" width="26.69921875" style="61" customWidth="1"/>
    <col min="1550" max="1552" width="13.69921875" style="61" customWidth="1"/>
    <col min="1553" max="1553" width="18" style="61" customWidth="1"/>
    <col min="1554" max="1563" width="7.69921875" style="61"/>
    <col min="1564" max="1567" width="0" style="61" hidden="1" customWidth="1"/>
    <col min="1568" max="1793" width="7.69921875" style="61"/>
    <col min="1794" max="1794" width="2.5" style="61" customWidth="1"/>
    <col min="1795" max="1795" width="7.296875" style="61" customWidth="1"/>
    <col min="1796" max="1796" width="8.296875" style="61" customWidth="1"/>
    <col min="1797" max="1797" width="4.796875" style="61" customWidth="1"/>
    <col min="1798" max="1798" width="8.296875" style="61" customWidth="1"/>
    <col min="1799" max="1799" width="16.19921875" style="61" customWidth="1"/>
    <col min="1800" max="1800" width="9.19921875" style="61" customWidth="1"/>
    <col min="1801" max="1801" width="7.796875" style="61" customWidth="1"/>
    <col min="1802" max="1802" width="10" style="61" customWidth="1"/>
    <col min="1803" max="1803" width="3.796875" style="61" customWidth="1"/>
    <col min="1804" max="1804" width="13.69921875" style="61" customWidth="1"/>
    <col min="1805" max="1805" width="26.69921875" style="61" customWidth="1"/>
    <col min="1806" max="1808" width="13.69921875" style="61" customWidth="1"/>
    <col min="1809" max="1809" width="18" style="61" customWidth="1"/>
    <col min="1810" max="1819" width="7.69921875" style="61"/>
    <col min="1820" max="1823" width="0" style="61" hidden="1" customWidth="1"/>
    <col min="1824" max="2049" width="7.69921875" style="61"/>
    <col min="2050" max="2050" width="2.5" style="61" customWidth="1"/>
    <col min="2051" max="2051" width="7.296875" style="61" customWidth="1"/>
    <col min="2052" max="2052" width="8.296875" style="61" customWidth="1"/>
    <col min="2053" max="2053" width="4.796875" style="61" customWidth="1"/>
    <col min="2054" max="2054" width="8.296875" style="61" customWidth="1"/>
    <col min="2055" max="2055" width="16.19921875" style="61" customWidth="1"/>
    <col min="2056" max="2056" width="9.19921875" style="61" customWidth="1"/>
    <col min="2057" max="2057" width="7.796875" style="61" customWidth="1"/>
    <col min="2058" max="2058" width="10" style="61" customWidth="1"/>
    <col min="2059" max="2059" width="3.796875" style="61" customWidth="1"/>
    <col min="2060" max="2060" width="13.69921875" style="61" customWidth="1"/>
    <col min="2061" max="2061" width="26.69921875" style="61" customWidth="1"/>
    <col min="2062" max="2064" width="13.69921875" style="61" customWidth="1"/>
    <col min="2065" max="2065" width="18" style="61" customWidth="1"/>
    <col min="2066" max="2075" width="7.69921875" style="61"/>
    <col min="2076" max="2079" width="0" style="61" hidden="1" customWidth="1"/>
    <col min="2080" max="2305" width="7.69921875" style="61"/>
    <col min="2306" max="2306" width="2.5" style="61" customWidth="1"/>
    <col min="2307" max="2307" width="7.296875" style="61" customWidth="1"/>
    <col min="2308" max="2308" width="8.296875" style="61" customWidth="1"/>
    <col min="2309" max="2309" width="4.796875" style="61" customWidth="1"/>
    <col min="2310" max="2310" width="8.296875" style="61" customWidth="1"/>
    <col min="2311" max="2311" width="16.19921875" style="61" customWidth="1"/>
    <col min="2312" max="2312" width="9.19921875" style="61" customWidth="1"/>
    <col min="2313" max="2313" width="7.796875" style="61" customWidth="1"/>
    <col min="2314" max="2314" width="10" style="61" customWidth="1"/>
    <col min="2315" max="2315" width="3.796875" style="61" customWidth="1"/>
    <col min="2316" max="2316" width="13.69921875" style="61" customWidth="1"/>
    <col min="2317" max="2317" width="26.69921875" style="61" customWidth="1"/>
    <col min="2318" max="2320" width="13.69921875" style="61" customWidth="1"/>
    <col min="2321" max="2321" width="18" style="61" customWidth="1"/>
    <col min="2322" max="2331" width="7.69921875" style="61"/>
    <col min="2332" max="2335" width="0" style="61" hidden="1" customWidth="1"/>
    <col min="2336" max="2561" width="7.69921875" style="61"/>
    <col min="2562" max="2562" width="2.5" style="61" customWidth="1"/>
    <col min="2563" max="2563" width="7.296875" style="61" customWidth="1"/>
    <col min="2564" max="2564" width="8.296875" style="61" customWidth="1"/>
    <col min="2565" max="2565" width="4.796875" style="61" customWidth="1"/>
    <col min="2566" max="2566" width="8.296875" style="61" customWidth="1"/>
    <col min="2567" max="2567" width="16.19921875" style="61" customWidth="1"/>
    <col min="2568" max="2568" width="9.19921875" style="61" customWidth="1"/>
    <col min="2569" max="2569" width="7.796875" style="61" customWidth="1"/>
    <col min="2570" max="2570" width="10" style="61" customWidth="1"/>
    <col min="2571" max="2571" width="3.796875" style="61" customWidth="1"/>
    <col min="2572" max="2572" width="13.69921875" style="61" customWidth="1"/>
    <col min="2573" max="2573" width="26.69921875" style="61" customWidth="1"/>
    <col min="2574" max="2576" width="13.69921875" style="61" customWidth="1"/>
    <col min="2577" max="2577" width="18" style="61" customWidth="1"/>
    <col min="2578" max="2587" width="7.69921875" style="61"/>
    <col min="2588" max="2591" width="0" style="61" hidden="1" customWidth="1"/>
    <col min="2592" max="2817" width="7.69921875" style="61"/>
    <col min="2818" max="2818" width="2.5" style="61" customWidth="1"/>
    <col min="2819" max="2819" width="7.296875" style="61" customWidth="1"/>
    <col min="2820" max="2820" width="8.296875" style="61" customWidth="1"/>
    <col min="2821" max="2821" width="4.796875" style="61" customWidth="1"/>
    <col min="2822" max="2822" width="8.296875" style="61" customWidth="1"/>
    <col min="2823" max="2823" width="16.19921875" style="61" customWidth="1"/>
    <col min="2824" max="2824" width="9.19921875" style="61" customWidth="1"/>
    <col min="2825" max="2825" width="7.796875" style="61" customWidth="1"/>
    <col min="2826" max="2826" width="10" style="61" customWidth="1"/>
    <col min="2827" max="2827" width="3.796875" style="61" customWidth="1"/>
    <col min="2828" max="2828" width="13.69921875" style="61" customWidth="1"/>
    <col min="2829" max="2829" width="26.69921875" style="61" customWidth="1"/>
    <col min="2830" max="2832" width="13.69921875" style="61" customWidth="1"/>
    <col min="2833" max="2833" width="18" style="61" customWidth="1"/>
    <col min="2834" max="2843" width="7.69921875" style="61"/>
    <col min="2844" max="2847" width="0" style="61" hidden="1" customWidth="1"/>
    <col min="2848" max="3073" width="7.69921875" style="61"/>
    <col min="3074" max="3074" width="2.5" style="61" customWidth="1"/>
    <col min="3075" max="3075" width="7.296875" style="61" customWidth="1"/>
    <col min="3076" max="3076" width="8.296875" style="61" customWidth="1"/>
    <col min="3077" max="3077" width="4.796875" style="61" customWidth="1"/>
    <col min="3078" max="3078" width="8.296875" style="61" customWidth="1"/>
    <col min="3079" max="3079" width="16.19921875" style="61" customWidth="1"/>
    <col min="3080" max="3080" width="9.19921875" style="61" customWidth="1"/>
    <col min="3081" max="3081" width="7.796875" style="61" customWidth="1"/>
    <col min="3082" max="3082" width="10" style="61" customWidth="1"/>
    <col min="3083" max="3083" width="3.796875" style="61" customWidth="1"/>
    <col min="3084" max="3084" width="13.69921875" style="61" customWidth="1"/>
    <col min="3085" max="3085" width="26.69921875" style="61" customWidth="1"/>
    <col min="3086" max="3088" width="13.69921875" style="61" customWidth="1"/>
    <col min="3089" max="3089" width="18" style="61" customWidth="1"/>
    <col min="3090" max="3099" width="7.69921875" style="61"/>
    <col min="3100" max="3103" width="0" style="61" hidden="1" customWidth="1"/>
    <col min="3104" max="3329" width="7.69921875" style="61"/>
    <col min="3330" max="3330" width="2.5" style="61" customWidth="1"/>
    <col min="3331" max="3331" width="7.296875" style="61" customWidth="1"/>
    <col min="3332" max="3332" width="8.296875" style="61" customWidth="1"/>
    <col min="3333" max="3333" width="4.796875" style="61" customWidth="1"/>
    <col min="3334" max="3334" width="8.296875" style="61" customWidth="1"/>
    <col min="3335" max="3335" width="16.19921875" style="61" customWidth="1"/>
    <col min="3336" max="3336" width="9.19921875" style="61" customWidth="1"/>
    <col min="3337" max="3337" width="7.796875" style="61" customWidth="1"/>
    <col min="3338" max="3338" width="10" style="61" customWidth="1"/>
    <col min="3339" max="3339" width="3.796875" style="61" customWidth="1"/>
    <col min="3340" max="3340" width="13.69921875" style="61" customWidth="1"/>
    <col min="3341" max="3341" width="26.69921875" style="61" customWidth="1"/>
    <col min="3342" max="3344" width="13.69921875" style="61" customWidth="1"/>
    <col min="3345" max="3345" width="18" style="61" customWidth="1"/>
    <col min="3346" max="3355" width="7.69921875" style="61"/>
    <col min="3356" max="3359" width="0" style="61" hidden="1" customWidth="1"/>
    <col min="3360" max="3585" width="7.69921875" style="61"/>
    <col min="3586" max="3586" width="2.5" style="61" customWidth="1"/>
    <col min="3587" max="3587" width="7.296875" style="61" customWidth="1"/>
    <col min="3588" max="3588" width="8.296875" style="61" customWidth="1"/>
    <col min="3589" max="3589" width="4.796875" style="61" customWidth="1"/>
    <col min="3590" max="3590" width="8.296875" style="61" customWidth="1"/>
    <col min="3591" max="3591" width="16.19921875" style="61" customWidth="1"/>
    <col min="3592" max="3592" width="9.19921875" style="61" customWidth="1"/>
    <col min="3593" max="3593" width="7.796875" style="61" customWidth="1"/>
    <col min="3594" max="3594" width="10" style="61" customWidth="1"/>
    <col min="3595" max="3595" width="3.796875" style="61" customWidth="1"/>
    <col min="3596" max="3596" width="13.69921875" style="61" customWidth="1"/>
    <col min="3597" max="3597" width="26.69921875" style="61" customWidth="1"/>
    <col min="3598" max="3600" width="13.69921875" style="61" customWidth="1"/>
    <col min="3601" max="3601" width="18" style="61" customWidth="1"/>
    <col min="3602" max="3611" width="7.69921875" style="61"/>
    <col min="3612" max="3615" width="0" style="61" hidden="1" customWidth="1"/>
    <col min="3616" max="3841" width="7.69921875" style="61"/>
    <col min="3842" max="3842" width="2.5" style="61" customWidth="1"/>
    <col min="3843" max="3843" width="7.296875" style="61" customWidth="1"/>
    <col min="3844" max="3844" width="8.296875" style="61" customWidth="1"/>
    <col min="3845" max="3845" width="4.796875" style="61" customWidth="1"/>
    <col min="3846" max="3846" width="8.296875" style="61" customWidth="1"/>
    <col min="3847" max="3847" width="16.19921875" style="61" customWidth="1"/>
    <col min="3848" max="3848" width="9.19921875" style="61" customWidth="1"/>
    <col min="3849" max="3849" width="7.796875" style="61" customWidth="1"/>
    <col min="3850" max="3850" width="10" style="61" customWidth="1"/>
    <col min="3851" max="3851" width="3.796875" style="61" customWidth="1"/>
    <col min="3852" max="3852" width="13.69921875" style="61" customWidth="1"/>
    <col min="3853" max="3853" width="26.69921875" style="61" customWidth="1"/>
    <col min="3854" max="3856" width="13.69921875" style="61" customWidth="1"/>
    <col min="3857" max="3857" width="18" style="61" customWidth="1"/>
    <col min="3858" max="3867" width="7.69921875" style="61"/>
    <col min="3868" max="3871" width="0" style="61" hidden="1" customWidth="1"/>
    <col min="3872" max="4097" width="7.69921875" style="61"/>
    <col min="4098" max="4098" width="2.5" style="61" customWidth="1"/>
    <col min="4099" max="4099" width="7.296875" style="61" customWidth="1"/>
    <col min="4100" max="4100" width="8.296875" style="61" customWidth="1"/>
    <col min="4101" max="4101" width="4.796875" style="61" customWidth="1"/>
    <col min="4102" max="4102" width="8.296875" style="61" customWidth="1"/>
    <col min="4103" max="4103" width="16.19921875" style="61" customWidth="1"/>
    <col min="4104" max="4104" width="9.19921875" style="61" customWidth="1"/>
    <col min="4105" max="4105" width="7.796875" style="61" customWidth="1"/>
    <col min="4106" max="4106" width="10" style="61" customWidth="1"/>
    <col min="4107" max="4107" width="3.796875" style="61" customWidth="1"/>
    <col min="4108" max="4108" width="13.69921875" style="61" customWidth="1"/>
    <col min="4109" max="4109" width="26.69921875" style="61" customWidth="1"/>
    <col min="4110" max="4112" width="13.69921875" style="61" customWidth="1"/>
    <col min="4113" max="4113" width="18" style="61" customWidth="1"/>
    <col min="4114" max="4123" width="7.69921875" style="61"/>
    <col min="4124" max="4127" width="0" style="61" hidden="1" customWidth="1"/>
    <col min="4128" max="4353" width="7.69921875" style="61"/>
    <col min="4354" max="4354" width="2.5" style="61" customWidth="1"/>
    <col min="4355" max="4355" width="7.296875" style="61" customWidth="1"/>
    <col min="4356" max="4356" width="8.296875" style="61" customWidth="1"/>
    <col min="4357" max="4357" width="4.796875" style="61" customWidth="1"/>
    <col min="4358" max="4358" width="8.296875" style="61" customWidth="1"/>
    <col min="4359" max="4359" width="16.19921875" style="61" customWidth="1"/>
    <col min="4360" max="4360" width="9.19921875" style="61" customWidth="1"/>
    <col min="4361" max="4361" width="7.796875" style="61" customWidth="1"/>
    <col min="4362" max="4362" width="10" style="61" customWidth="1"/>
    <col min="4363" max="4363" width="3.796875" style="61" customWidth="1"/>
    <col min="4364" max="4364" width="13.69921875" style="61" customWidth="1"/>
    <col min="4365" max="4365" width="26.69921875" style="61" customWidth="1"/>
    <col min="4366" max="4368" width="13.69921875" style="61" customWidth="1"/>
    <col min="4369" max="4369" width="18" style="61" customWidth="1"/>
    <col min="4370" max="4379" width="7.69921875" style="61"/>
    <col min="4380" max="4383" width="0" style="61" hidden="1" customWidth="1"/>
    <col min="4384" max="4609" width="7.69921875" style="61"/>
    <col min="4610" max="4610" width="2.5" style="61" customWidth="1"/>
    <col min="4611" max="4611" width="7.296875" style="61" customWidth="1"/>
    <col min="4612" max="4612" width="8.296875" style="61" customWidth="1"/>
    <col min="4613" max="4613" width="4.796875" style="61" customWidth="1"/>
    <col min="4614" max="4614" width="8.296875" style="61" customWidth="1"/>
    <col min="4615" max="4615" width="16.19921875" style="61" customWidth="1"/>
    <col min="4616" max="4616" width="9.19921875" style="61" customWidth="1"/>
    <col min="4617" max="4617" width="7.796875" style="61" customWidth="1"/>
    <col min="4618" max="4618" width="10" style="61" customWidth="1"/>
    <col min="4619" max="4619" width="3.796875" style="61" customWidth="1"/>
    <col min="4620" max="4620" width="13.69921875" style="61" customWidth="1"/>
    <col min="4621" max="4621" width="26.69921875" style="61" customWidth="1"/>
    <col min="4622" max="4624" width="13.69921875" style="61" customWidth="1"/>
    <col min="4625" max="4625" width="18" style="61" customWidth="1"/>
    <col min="4626" max="4635" width="7.69921875" style="61"/>
    <col min="4636" max="4639" width="0" style="61" hidden="1" customWidth="1"/>
    <col min="4640" max="4865" width="7.69921875" style="61"/>
    <col min="4866" max="4866" width="2.5" style="61" customWidth="1"/>
    <col min="4867" max="4867" width="7.296875" style="61" customWidth="1"/>
    <col min="4868" max="4868" width="8.296875" style="61" customWidth="1"/>
    <col min="4869" max="4869" width="4.796875" style="61" customWidth="1"/>
    <col min="4870" max="4870" width="8.296875" style="61" customWidth="1"/>
    <col min="4871" max="4871" width="16.19921875" style="61" customWidth="1"/>
    <col min="4872" max="4872" width="9.19921875" style="61" customWidth="1"/>
    <col min="4873" max="4873" width="7.796875" style="61" customWidth="1"/>
    <col min="4874" max="4874" width="10" style="61" customWidth="1"/>
    <col min="4875" max="4875" width="3.796875" style="61" customWidth="1"/>
    <col min="4876" max="4876" width="13.69921875" style="61" customWidth="1"/>
    <col min="4877" max="4877" width="26.69921875" style="61" customWidth="1"/>
    <col min="4878" max="4880" width="13.69921875" style="61" customWidth="1"/>
    <col min="4881" max="4881" width="18" style="61" customWidth="1"/>
    <col min="4882" max="4891" width="7.69921875" style="61"/>
    <col min="4892" max="4895" width="0" style="61" hidden="1" customWidth="1"/>
    <col min="4896" max="5121" width="7.69921875" style="61"/>
    <col min="5122" max="5122" width="2.5" style="61" customWidth="1"/>
    <col min="5123" max="5123" width="7.296875" style="61" customWidth="1"/>
    <col min="5124" max="5124" width="8.296875" style="61" customWidth="1"/>
    <col min="5125" max="5125" width="4.796875" style="61" customWidth="1"/>
    <col min="5126" max="5126" width="8.296875" style="61" customWidth="1"/>
    <col min="5127" max="5127" width="16.19921875" style="61" customWidth="1"/>
    <col min="5128" max="5128" width="9.19921875" style="61" customWidth="1"/>
    <col min="5129" max="5129" width="7.796875" style="61" customWidth="1"/>
    <col min="5130" max="5130" width="10" style="61" customWidth="1"/>
    <col min="5131" max="5131" width="3.796875" style="61" customWidth="1"/>
    <col min="5132" max="5132" width="13.69921875" style="61" customWidth="1"/>
    <col min="5133" max="5133" width="26.69921875" style="61" customWidth="1"/>
    <col min="5134" max="5136" width="13.69921875" style="61" customWidth="1"/>
    <col min="5137" max="5137" width="18" style="61" customWidth="1"/>
    <col min="5138" max="5147" width="7.69921875" style="61"/>
    <col min="5148" max="5151" width="0" style="61" hidden="1" customWidth="1"/>
    <col min="5152" max="5377" width="7.69921875" style="61"/>
    <col min="5378" max="5378" width="2.5" style="61" customWidth="1"/>
    <col min="5379" max="5379" width="7.296875" style="61" customWidth="1"/>
    <col min="5380" max="5380" width="8.296875" style="61" customWidth="1"/>
    <col min="5381" max="5381" width="4.796875" style="61" customWidth="1"/>
    <col min="5382" max="5382" width="8.296875" style="61" customWidth="1"/>
    <col min="5383" max="5383" width="16.19921875" style="61" customWidth="1"/>
    <col min="5384" max="5384" width="9.19921875" style="61" customWidth="1"/>
    <col min="5385" max="5385" width="7.796875" style="61" customWidth="1"/>
    <col min="5386" max="5386" width="10" style="61" customWidth="1"/>
    <col min="5387" max="5387" width="3.796875" style="61" customWidth="1"/>
    <col min="5388" max="5388" width="13.69921875" style="61" customWidth="1"/>
    <col min="5389" max="5389" width="26.69921875" style="61" customWidth="1"/>
    <col min="5390" max="5392" width="13.69921875" style="61" customWidth="1"/>
    <col min="5393" max="5393" width="18" style="61" customWidth="1"/>
    <col min="5394" max="5403" width="7.69921875" style="61"/>
    <col min="5404" max="5407" width="0" style="61" hidden="1" customWidth="1"/>
    <col min="5408" max="5633" width="7.69921875" style="61"/>
    <col min="5634" max="5634" width="2.5" style="61" customWidth="1"/>
    <col min="5635" max="5635" width="7.296875" style="61" customWidth="1"/>
    <col min="5636" max="5636" width="8.296875" style="61" customWidth="1"/>
    <col min="5637" max="5637" width="4.796875" style="61" customWidth="1"/>
    <col min="5638" max="5638" width="8.296875" style="61" customWidth="1"/>
    <col min="5639" max="5639" width="16.19921875" style="61" customWidth="1"/>
    <col min="5640" max="5640" width="9.19921875" style="61" customWidth="1"/>
    <col min="5641" max="5641" width="7.796875" style="61" customWidth="1"/>
    <col min="5642" max="5642" width="10" style="61" customWidth="1"/>
    <col min="5643" max="5643" width="3.796875" style="61" customWidth="1"/>
    <col min="5644" max="5644" width="13.69921875" style="61" customWidth="1"/>
    <col min="5645" max="5645" width="26.69921875" style="61" customWidth="1"/>
    <col min="5646" max="5648" width="13.69921875" style="61" customWidth="1"/>
    <col min="5649" max="5649" width="18" style="61" customWidth="1"/>
    <col min="5650" max="5659" width="7.69921875" style="61"/>
    <col min="5660" max="5663" width="0" style="61" hidden="1" customWidth="1"/>
    <col min="5664" max="5889" width="7.69921875" style="61"/>
    <col min="5890" max="5890" width="2.5" style="61" customWidth="1"/>
    <col min="5891" max="5891" width="7.296875" style="61" customWidth="1"/>
    <col min="5892" max="5892" width="8.296875" style="61" customWidth="1"/>
    <col min="5893" max="5893" width="4.796875" style="61" customWidth="1"/>
    <col min="5894" max="5894" width="8.296875" style="61" customWidth="1"/>
    <col min="5895" max="5895" width="16.19921875" style="61" customWidth="1"/>
    <col min="5896" max="5896" width="9.19921875" style="61" customWidth="1"/>
    <col min="5897" max="5897" width="7.796875" style="61" customWidth="1"/>
    <col min="5898" max="5898" width="10" style="61" customWidth="1"/>
    <col min="5899" max="5899" width="3.796875" style="61" customWidth="1"/>
    <col min="5900" max="5900" width="13.69921875" style="61" customWidth="1"/>
    <col min="5901" max="5901" width="26.69921875" style="61" customWidth="1"/>
    <col min="5902" max="5904" width="13.69921875" style="61" customWidth="1"/>
    <col min="5905" max="5905" width="18" style="61" customWidth="1"/>
    <col min="5906" max="5915" width="7.69921875" style="61"/>
    <col min="5916" max="5919" width="0" style="61" hidden="1" customWidth="1"/>
    <col min="5920" max="6145" width="7.69921875" style="61"/>
    <col min="6146" max="6146" width="2.5" style="61" customWidth="1"/>
    <col min="6147" max="6147" width="7.296875" style="61" customWidth="1"/>
    <col min="6148" max="6148" width="8.296875" style="61" customWidth="1"/>
    <col min="6149" max="6149" width="4.796875" style="61" customWidth="1"/>
    <col min="6150" max="6150" width="8.296875" style="61" customWidth="1"/>
    <col min="6151" max="6151" width="16.19921875" style="61" customWidth="1"/>
    <col min="6152" max="6152" width="9.19921875" style="61" customWidth="1"/>
    <col min="6153" max="6153" width="7.796875" style="61" customWidth="1"/>
    <col min="6154" max="6154" width="10" style="61" customWidth="1"/>
    <col min="6155" max="6155" width="3.796875" style="61" customWidth="1"/>
    <col min="6156" max="6156" width="13.69921875" style="61" customWidth="1"/>
    <col min="6157" max="6157" width="26.69921875" style="61" customWidth="1"/>
    <col min="6158" max="6160" width="13.69921875" style="61" customWidth="1"/>
    <col min="6161" max="6161" width="18" style="61" customWidth="1"/>
    <col min="6162" max="6171" width="7.69921875" style="61"/>
    <col min="6172" max="6175" width="0" style="61" hidden="1" customWidth="1"/>
    <col min="6176" max="6401" width="7.69921875" style="61"/>
    <col min="6402" max="6402" width="2.5" style="61" customWidth="1"/>
    <col min="6403" max="6403" width="7.296875" style="61" customWidth="1"/>
    <col min="6404" max="6404" width="8.296875" style="61" customWidth="1"/>
    <col min="6405" max="6405" width="4.796875" style="61" customWidth="1"/>
    <col min="6406" max="6406" width="8.296875" style="61" customWidth="1"/>
    <col min="6407" max="6407" width="16.19921875" style="61" customWidth="1"/>
    <col min="6408" max="6408" width="9.19921875" style="61" customWidth="1"/>
    <col min="6409" max="6409" width="7.796875" style="61" customWidth="1"/>
    <col min="6410" max="6410" width="10" style="61" customWidth="1"/>
    <col min="6411" max="6411" width="3.796875" style="61" customWidth="1"/>
    <col min="6412" max="6412" width="13.69921875" style="61" customWidth="1"/>
    <col min="6413" max="6413" width="26.69921875" style="61" customWidth="1"/>
    <col min="6414" max="6416" width="13.69921875" style="61" customWidth="1"/>
    <col min="6417" max="6417" width="18" style="61" customWidth="1"/>
    <col min="6418" max="6427" width="7.69921875" style="61"/>
    <col min="6428" max="6431" width="0" style="61" hidden="1" customWidth="1"/>
    <col min="6432" max="6657" width="7.69921875" style="61"/>
    <col min="6658" max="6658" width="2.5" style="61" customWidth="1"/>
    <col min="6659" max="6659" width="7.296875" style="61" customWidth="1"/>
    <col min="6660" max="6660" width="8.296875" style="61" customWidth="1"/>
    <col min="6661" max="6661" width="4.796875" style="61" customWidth="1"/>
    <col min="6662" max="6662" width="8.296875" style="61" customWidth="1"/>
    <col min="6663" max="6663" width="16.19921875" style="61" customWidth="1"/>
    <col min="6664" max="6664" width="9.19921875" style="61" customWidth="1"/>
    <col min="6665" max="6665" width="7.796875" style="61" customWidth="1"/>
    <col min="6666" max="6666" width="10" style="61" customWidth="1"/>
    <col min="6667" max="6667" width="3.796875" style="61" customWidth="1"/>
    <col min="6668" max="6668" width="13.69921875" style="61" customWidth="1"/>
    <col min="6669" max="6669" width="26.69921875" style="61" customWidth="1"/>
    <col min="6670" max="6672" width="13.69921875" style="61" customWidth="1"/>
    <col min="6673" max="6673" width="18" style="61" customWidth="1"/>
    <col min="6674" max="6683" width="7.69921875" style="61"/>
    <col min="6684" max="6687" width="0" style="61" hidden="1" customWidth="1"/>
    <col min="6688" max="6913" width="7.69921875" style="61"/>
    <col min="6914" max="6914" width="2.5" style="61" customWidth="1"/>
    <col min="6915" max="6915" width="7.296875" style="61" customWidth="1"/>
    <col min="6916" max="6916" width="8.296875" style="61" customWidth="1"/>
    <col min="6917" max="6917" width="4.796875" style="61" customWidth="1"/>
    <col min="6918" max="6918" width="8.296875" style="61" customWidth="1"/>
    <col min="6919" max="6919" width="16.19921875" style="61" customWidth="1"/>
    <col min="6920" max="6920" width="9.19921875" style="61" customWidth="1"/>
    <col min="6921" max="6921" width="7.796875" style="61" customWidth="1"/>
    <col min="6922" max="6922" width="10" style="61" customWidth="1"/>
    <col min="6923" max="6923" width="3.796875" style="61" customWidth="1"/>
    <col min="6924" max="6924" width="13.69921875" style="61" customWidth="1"/>
    <col min="6925" max="6925" width="26.69921875" style="61" customWidth="1"/>
    <col min="6926" max="6928" width="13.69921875" style="61" customWidth="1"/>
    <col min="6929" max="6929" width="18" style="61" customWidth="1"/>
    <col min="6930" max="6939" width="7.69921875" style="61"/>
    <col min="6940" max="6943" width="0" style="61" hidden="1" customWidth="1"/>
    <col min="6944" max="7169" width="7.69921875" style="61"/>
    <col min="7170" max="7170" width="2.5" style="61" customWidth="1"/>
    <col min="7171" max="7171" width="7.296875" style="61" customWidth="1"/>
    <col min="7172" max="7172" width="8.296875" style="61" customWidth="1"/>
    <col min="7173" max="7173" width="4.796875" style="61" customWidth="1"/>
    <col min="7174" max="7174" width="8.296875" style="61" customWidth="1"/>
    <col min="7175" max="7175" width="16.19921875" style="61" customWidth="1"/>
    <col min="7176" max="7176" width="9.19921875" style="61" customWidth="1"/>
    <col min="7177" max="7177" width="7.796875" style="61" customWidth="1"/>
    <col min="7178" max="7178" width="10" style="61" customWidth="1"/>
    <col min="7179" max="7179" width="3.796875" style="61" customWidth="1"/>
    <col min="7180" max="7180" width="13.69921875" style="61" customWidth="1"/>
    <col min="7181" max="7181" width="26.69921875" style="61" customWidth="1"/>
    <col min="7182" max="7184" width="13.69921875" style="61" customWidth="1"/>
    <col min="7185" max="7185" width="18" style="61" customWidth="1"/>
    <col min="7186" max="7195" width="7.69921875" style="61"/>
    <col min="7196" max="7199" width="0" style="61" hidden="1" customWidth="1"/>
    <col min="7200" max="7425" width="7.69921875" style="61"/>
    <col min="7426" max="7426" width="2.5" style="61" customWidth="1"/>
    <col min="7427" max="7427" width="7.296875" style="61" customWidth="1"/>
    <col min="7428" max="7428" width="8.296875" style="61" customWidth="1"/>
    <col min="7429" max="7429" width="4.796875" style="61" customWidth="1"/>
    <col min="7430" max="7430" width="8.296875" style="61" customWidth="1"/>
    <col min="7431" max="7431" width="16.19921875" style="61" customWidth="1"/>
    <col min="7432" max="7432" width="9.19921875" style="61" customWidth="1"/>
    <col min="7433" max="7433" width="7.796875" style="61" customWidth="1"/>
    <col min="7434" max="7434" width="10" style="61" customWidth="1"/>
    <col min="7435" max="7435" width="3.796875" style="61" customWidth="1"/>
    <col min="7436" max="7436" width="13.69921875" style="61" customWidth="1"/>
    <col min="7437" max="7437" width="26.69921875" style="61" customWidth="1"/>
    <col min="7438" max="7440" width="13.69921875" style="61" customWidth="1"/>
    <col min="7441" max="7441" width="18" style="61" customWidth="1"/>
    <col min="7442" max="7451" width="7.69921875" style="61"/>
    <col min="7452" max="7455" width="0" style="61" hidden="1" customWidth="1"/>
    <col min="7456" max="7681" width="7.69921875" style="61"/>
    <col min="7682" max="7682" width="2.5" style="61" customWidth="1"/>
    <col min="7683" max="7683" width="7.296875" style="61" customWidth="1"/>
    <col min="7684" max="7684" width="8.296875" style="61" customWidth="1"/>
    <col min="7685" max="7685" width="4.796875" style="61" customWidth="1"/>
    <col min="7686" max="7686" width="8.296875" style="61" customWidth="1"/>
    <col min="7687" max="7687" width="16.19921875" style="61" customWidth="1"/>
    <col min="7688" max="7688" width="9.19921875" style="61" customWidth="1"/>
    <col min="7689" max="7689" width="7.796875" style="61" customWidth="1"/>
    <col min="7690" max="7690" width="10" style="61" customWidth="1"/>
    <col min="7691" max="7691" width="3.796875" style="61" customWidth="1"/>
    <col min="7692" max="7692" width="13.69921875" style="61" customWidth="1"/>
    <col min="7693" max="7693" width="26.69921875" style="61" customWidth="1"/>
    <col min="7694" max="7696" width="13.69921875" style="61" customWidth="1"/>
    <col min="7697" max="7697" width="18" style="61" customWidth="1"/>
    <col min="7698" max="7707" width="7.69921875" style="61"/>
    <col min="7708" max="7711" width="0" style="61" hidden="1" customWidth="1"/>
    <col min="7712" max="7937" width="7.69921875" style="61"/>
    <col min="7938" max="7938" width="2.5" style="61" customWidth="1"/>
    <col min="7939" max="7939" width="7.296875" style="61" customWidth="1"/>
    <col min="7940" max="7940" width="8.296875" style="61" customWidth="1"/>
    <col min="7941" max="7941" width="4.796875" style="61" customWidth="1"/>
    <col min="7942" max="7942" width="8.296875" style="61" customWidth="1"/>
    <col min="7943" max="7943" width="16.19921875" style="61" customWidth="1"/>
    <col min="7944" max="7944" width="9.19921875" style="61" customWidth="1"/>
    <col min="7945" max="7945" width="7.796875" style="61" customWidth="1"/>
    <col min="7946" max="7946" width="10" style="61" customWidth="1"/>
    <col min="7947" max="7947" width="3.796875" style="61" customWidth="1"/>
    <col min="7948" max="7948" width="13.69921875" style="61" customWidth="1"/>
    <col min="7949" max="7949" width="26.69921875" style="61" customWidth="1"/>
    <col min="7950" max="7952" width="13.69921875" style="61" customWidth="1"/>
    <col min="7953" max="7953" width="18" style="61" customWidth="1"/>
    <col min="7954" max="7963" width="7.69921875" style="61"/>
    <col min="7964" max="7967" width="0" style="61" hidden="1" customWidth="1"/>
    <col min="7968" max="8193" width="7.69921875" style="61"/>
    <col min="8194" max="8194" width="2.5" style="61" customWidth="1"/>
    <col min="8195" max="8195" width="7.296875" style="61" customWidth="1"/>
    <col min="8196" max="8196" width="8.296875" style="61" customWidth="1"/>
    <col min="8197" max="8197" width="4.796875" style="61" customWidth="1"/>
    <col min="8198" max="8198" width="8.296875" style="61" customWidth="1"/>
    <col min="8199" max="8199" width="16.19921875" style="61" customWidth="1"/>
    <col min="8200" max="8200" width="9.19921875" style="61" customWidth="1"/>
    <col min="8201" max="8201" width="7.796875" style="61" customWidth="1"/>
    <col min="8202" max="8202" width="10" style="61" customWidth="1"/>
    <col min="8203" max="8203" width="3.796875" style="61" customWidth="1"/>
    <col min="8204" max="8204" width="13.69921875" style="61" customWidth="1"/>
    <col min="8205" max="8205" width="26.69921875" style="61" customWidth="1"/>
    <col min="8206" max="8208" width="13.69921875" style="61" customWidth="1"/>
    <col min="8209" max="8209" width="18" style="61" customWidth="1"/>
    <col min="8210" max="8219" width="7.69921875" style="61"/>
    <col min="8220" max="8223" width="0" style="61" hidden="1" customWidth="1"/>
    <col min="8224" max="8449" width="7.69921875" style="61"/>
    <col min="8450" max="8450" width="2.5" style="61" customWidth="1"/>
    <col min="8451" max="8451" width="7.296875" style="61" customWidth="1"/>
    <col min="8452" max="8452" width="8.296875" style="61" customWidth="1"/>
    <col min="8453" max="8453" width="4.796875" style="61" customWidth="1"/>
    <col min="8454" max="8454" width="8.296875" style="61" customWidth="1"/>
    <col min="8455" max="8455" width="16.19921875" style="61" customWidth="1"/>
    <col min="8456" max="8456" width="9.19921875" style="61" customWidth="1"/>
    <col min="8457" max="8457" width="7.796875" style="61" customWidth="1"/>
    <col min="8458" max="8458" width="10" style="61" customWidth="1"/>
    <col min="8459" max="8459" width="3.796875" style="61" customWidth="1"/>
    <col min="8460" max="8460" width="13.69921875" style="61" customWidth="1"/>
    <col min="8461" max="8461" width="26.69921875" style="61" customWidth="1"/>
    <col min="8462" max="8464" width="13.69921875" style="61" customWidth="1"/>
    <col min="8465" max="8465" width="18" style="61" customWidth="1"/>
    <col min="8466" max="8475" width="7.69921875" style="61"/>
    <col min="8476" max="8479" width="0" style="61" hidden="1" customWidth="1"/>
    <col min="8480" max="8705" width="7.69921875" style="61"/>
    <col min="8706" max="8706" width="2.5" style="61" customWidth="1"/>
    <col min="8707" max="8707" width="7.296875" style="61" customWidth="1"/>
    <col min="8708" max="8708" width="8.296875" style="61" customWidth="1"/>
    <col min="8709" max="8709" width="4.796875" style="61" customWidth="1"/>
    <col min="8710" max="8710" width="8.296875" style="61" customWidth="1"/>
    <col min="8711" max="8711" width="16.19921875" style="61" customWidth="1"/>
    <col min="8712" max="8712" width="9.19921875" style="61" customWidth="1"/>
    <col min="8713" max="8713" width="7.796875" style="61" customWidth="1"/>
    <col min="8714" max="8714" width="10" style="61" customWidth="1"/>
    <col min="8715" max="8715" width="3.796875" style="61" customWidth="1"/>
    <col min="8716" max="8716" width="13.69921875" style="61" customWidth="1"/>
    <col min="8717" max="8717" width="26.69921875" style="61" customWidth="1"/>
    <col min="8718" max="8720" width="13.69921875" style="61" customWidth="1"/>
    <col min="8721" max="8721" width="18" style="61" customWidth="1"/>
    <col min="8722" max="8731" width="7.69921875" style="61"/>
    <col min="8732" max="8735" width="0" style="61" hidden="1" customWidth="1"/>
    <col min="8736" max="8961" width="7.69921875" style="61"/>
    <col min="8962" max="8962" width="2.5" style="61" customWidth="1"/>
    <col min="8963" max="8963" width="7.296875" style="61" customWidth="1"/>
    <col min="8964" max="8964" width="8.296875" style="61" customWidth="1"/>
    <col min="8965" max="8965" width="4.796875" style="61" customWidth="1"/>
    <col min="8966" max="8966" width="8.296875" style="61" customWidth="1"/>
    <col min="8967" max="8967" width="16.19921875" style="61" customWidth="1"/>
    <col min="8968" max="8968" width="9.19921875" style="61" customWidth="1"/>
    <col min="8969" max="8969" width="7.796875" style="61" customWidth="1"/>
    <col min="8970" max="8970" width="10" style="61" customWidth="1"/>
    <col min="8971" max="8971" width="3.796875" style="61" customWidth="1"/>
    <col min="8972" max="8972" width="13.69921875" style="61" customWidth="1"/>
    <col min="8973" max="8973" width="26.69921875" style="61" customWidth="1"/>
    <col min="8974" max="8976" width="13.69921875" style="61" customWidth="1"/>
    <col min="8977" max="8977" width="18" style="61" customWidth="1"/>
    <col min="8978" max="8987" width="7.69921875" style="61"/>
    <col min="8988" max="8991" width="0" style="61" hidden="1" customWidth="1"/>
    <col min="8992" max="9217" width="7.69921875" style="61"/>
    <col min="9218" max="9218" width="2.5" style="61" customWidth="1"/>
    <col min="9219" max="9219" width="7.296875" style="61" customWidth="1"/>
    <col min="9220" max="9220" width="8.296875" style="61" customWidth="1"/>
    <col min="9221" max="9221" width="4.796875" style="61" customWidth="1"/>
    <col min="9222" max="9222" width="8.296875" style="61" customWidth="1"/>
    <col min="9223" max="9223" width="16.19921875" style="61" customWidth="1"/>
    <col min="9224" max="9224" width="9.19921875" style="61" customWidth="1"/>
    <col min="9225" max="9225" width="7.796875" style="61" customWidth="1"/>
    <col min="9226" max="9226" width="10" style="61" customWidth="1"/>
    <col min="9227" max="9227" width="3.796875" style="61" customWidth="1"/>
    <col min="9228" max="9228" width="13.69921875" style="61" customWidth="1"/>
    <col min="9229" max="9229" width="26.69921875" style="61" customWidth="1"/>
    <col min="9230" max="9232" width="13.69921875" style="61" customWidth="1"/>
    <col min="9233" max="9233" width="18" style="61" customWidth="1"/>
    <col min="9234" max="9243" width="7.69921875" style="61"/>
    <col min="9244" max="9247" width="0" style="61" hidden="1" customWidth="1"/>
    <col min="9248" max="9473" width="7.69921875" style="61"/>
    <col min="9474" max="9474" width="2.5" style="61" customWidth="1"/>
    <col min="9475" max="9475" width="7.296875" style="61" customWidth="1"/>
    <col min="9476" max="9476" width="8.296875" style="61" customWidth="1"/>
    <col min="9477" max="9477" width="4.796875" style="61" customWidth="1"/>
    <col min="9478" max="9478" width="8.296875" style="61" customWidth="1"/>
    <col min="9479" max="9479" width="16.19921875" style="61" customWidth="1"/>
    <col min="9480" max="9480" width="9.19921875" style="61" customWidth="1"/>
    <col min="9481" max="9481" width="7.796875" style="61" customWidth="1"/>
    <col min="9482" max="9482" width="10" style="61" customWidth="1"/>
    <col min="9483" max="9483" width="3.796875" style="61" customWidth="1"/>
    <col min="9484" max="9484" width="13.69921875" style="61" customWidth="1"/>
    <col min="9485" max="9485" width="26.69921875" style="61" customWidth="1"/>
    <col min="9486" max="9488" width="13.69921875" style="61" customWidth="1"/>
    <col min="9489" max="9489" width="18" style="61" customWidth="1"/>
    <col min="9490" max="9499" width="7.69921875" style="61"/>
    <col min="9500" max="9503" width="0" style="61" hidden="1" customWidth="1"/>
    <col min="9504" max="9729" width="7.69921875" style="61"/>
    <col min="9730" max="9730" width="2.5" style="61" customWidth="1"/>
    <col min="9731" max="9731" width="7.296875" style="61" customWidth="1"/>
    <col min="9732" max="9732" width="8.296875" style="61" customWidth="1"/>
    <col min="9733" max="9733" width="4.796875" style="61" customWidth="1"/>
    <col min="9734" max="9734" width="8.296875" style="61" customWidth="1"/>
    <col min="9735" max="9735" width="16.19921875" style="61" customWidth="1"/>
    <col min="9736" max="9736" width="9.19921875" style="61" customWidth="1"/>
    <col min="9737" max="9737" width="7.796875" style="61" customWidth="1"/>
    <col min="9738" max="9738" width="10" style="61" customWidth="1"/>
    <col min="9739" max="9739" width="3.796875" style="61" customWidth="1"/>
    <col min="9740" max="9740" width="13.69921875" style="61" customWidth="1"/>
    <col min="9741" max="9741" width="26.69921875" style="61" customWidth="1"/>
    <col min="9742" max="9744" width="13.69921875" style="61" customWidth="1"/>
    <col min="9745" max="9745" width="18" style="61" customWidth="1"/>
    <col min="9746" max="9755" width="7.69921875" style="61"/>
    <col min="9756" max="9759" width="0" style="61" hidden="1" customWidth="1"/>
    <col min="9760" max="9985" width="7.69921875" style="61"/>
    <col min="9986" max="9986" width="2.5" style="61" customWidth="1"/>
    <col min="9987" max="9987" width="7.296875" style="61" customWidth="1"/>
    <col min="9988" max="9988" width="8.296875" style="61" customWidth="1"/>
    <col min="9989" max="9989" width="4.796875" style="61" customWidth="1"/>
    <col min="9990" max="9990" width="8.296875" style="61" customWidth="1"/>
    <col min="9991" max="9991" width="16.19921875" style="61" customWidth="1"/>
    <col min="9992" max="9992" width="9.19921875" style="61" customWidth="1"/>
    <col min="9993" max="9993" width="7.796875" style="61" customWidth="1"/>
    <col min="9994" max="9994" width="10" style="61" customWidth="1"/>
    <col min="9995" max="9995" width="3.796875" style="61" customWidth="1"/>
    <col min="9996" max="9996" width="13.69921875" style="61" customWidth="1"/>
    <col min="9997" max="9997" width="26.69921875" style="61" customWidth="1"/>
    <col min="9998" max="10000" width="13.69921875" style="61" customWidth="1"/>
    <col min="10001" max="10001" width="18" style="61" customWidth="1"/>
    <col min="10002" max="10011" width="7.69921875" style="61"/>
    <col min="10012" max="10015" width="0" style="61" hidden="1" customWidth="1"/>
    <col min="10016" max="10241" width="7.69921875" style="61"/>
    <col min="10242" max="10242" width="2.5" style="61" customWidth="1"/>
    <col min="10243" max="10243" width="7.296875" style="61" customWidth="1"/>
    <col min="10244" max="10244" width="8.296875" style="61" customWidth="1"/>
    <col min="10245" max="10245" width="4.796875" style="61" customWidth="1"/>
    <col min="10246" max="10246" width="8.296875" style="61" customWidth="1"/>
    <col min="10247" max="10247" width="16.19921875" style="61" customWidth="1"/>
    <col min="10248" max="10248" width="9.19921875" style="61" customWidth="1"/>
    <col min="10249" max="10249" width="7.796875" style="61" customWidth="1"/>
    <col min="10250" max="10250" width="10" style="61" customWidth="1"/>
    <col min="10251" max="10251" width="3.796875" style="61" customWidth="1"/>
    <col min="10252" max="10252" width="13.69921875" style="61" customWidth="1"/>
    <col min="10253" max="10253" width="26.69921875" style="61" customWidth="1"/>
    <col min="10254" max="10256" width="13.69921875" style="61" customWidth="1"/>
    <col min="10257" max="10257" width="18" style="61" customWidth="1"/>
    <col min="10258" max="10267" width="7.69921875" style="61"/>
    <col min="10268" max="10271" width="0" style="61" hidden="1" customWidth="1"/>
    <col min="10272" max="10497" width="7.69921875" style="61"/>
    <col min="10498" max="10498" width="2.5" style="61" customWidth="1"/>
    <col min="10499" max="10499" width="7.296875" style="61" customWidth="1"/>
    <col min="10500" max="10500" width="8.296875" style="61" customWidth="1"/>
    <col min="10501" max="10501" width="4.796875" style="61" customWidth="1"/>
    <col min="10502" max="10502" width="8.296875" style="61" customWidth="1"/>
    <col min="10503" max="10503" width="16.19921875" style="61" customWidth="1"/>
    <col min="10504" max="10504" width="9.19921875" style="61" customWidth="1"/>
    <col min="10505" max="10505" width="7.796875" style="61" customWidth="1"/>
    <col min="10506" max="10506" width="10" style="61" customWidth="1"/>
    <col min="10507" max="10507" width="3.796875" style="61" customWidth="1"/>
    <col min="10508" max="10508" width="13.69921875" style="61" customWidth="1"/>
    <col min="10509" max="10509" width="26.69921875" style="61" customWidth="1"/>
    <col min="10510" max="10512" width="13.69921875" style="61" customWidth="1"/>
    <col min="10513" max="10513" width="18" style="61" customWidth="1"/>
    <col min="10514" max="10523" width="7.69921875" style="61"/>
    <col min="10524" max="10527" width="0" style="61" hidden="1" customWidth="1"/>
    <col min="10528" max="10753" width="7.69921875" style="61"/>
    <col min="10754" max="10754" width="2.5" style="61" customWidth="1"/>
    <col min="10755" max="10755" width="7.296875" style="61" customWidth="1"/>
    <col min="10756" max="10756" width="8.296875" style="61" customWidth="1"/>
    <col min="10757" max="10757" width="4.796875" style="61" customWidth="1"/>
    <col min="10758" max="10758" width="8.296875" style="61" customWidth="1"/>
    <col min="10759" max="10759" width="16.19921875" style="61" customWidth="1"/>
    <col min="10760" max="10760" width="9.19921875" style="61" customWidth="1"/>
    <col min="10761" max="10761" width="7.796875" style="61" customWidth="1"/>
    <col min="10762" max="10762" width="10" style="61" customWidth="1"/>
    <col min="10763" max="10763" width="3.796875" style="61" customWidth="1"/>
    <col min="10764" max="10764" width="13.69921875" style="61" customWidth="1"/>
    <col min="10765" max="10765" width="26.69921875" style="61" customWidth="1"/>
    <col min="10766" max="10768" width="13.69921875" style="61" customWidth="1"/>
    <col min="10769" max="10769" width="18" style="61" customWidth="1"/>
    <col min="10770" max="10779" width="7.69921875" style="61"/>
    <col min="10780" max="10783" width="0" style="61" hidden="1" customWidth="1"/>
    <col min="10784" max="11009" width="7.69921875" style="61"/>
    <col min="11010" max="11010" width="2.5" style="61" customWidth="1"/>
    <col min="11011" max="11011" width="7.296875" style="61" customWidth="1"/>
    <col min="11012" max="11012" width="8.296875" style="61" customWidth="1"/>
    <col min="11013" max="11013" width="4.796875" style="61" customWidth="1"/>
    <col min="11014" max="11014" width="8.296875" style="61" customWidth="1"/>
    <col min="11015" max="11015" width="16.19921875" style="61" customWidth="1"/>
    <col min="11016" max="11016" width="9.19921875" style="61" customWidth="1"/>
    <col min="11017" max="11017" width="7.796875" style="61" customWidth="1"/>
    <col min="11018" max="11018" width="10" style="61" customWidth="1"/>
    <col min="11019" max="11019" width="3.796875" style="61" customWidth="1"/>
    <col min="11020" max="11020" width="13.69921875" style="61" customWidth="1"/>
    <col min="11021" max="11021" width="26.69921875" style="61" customWidth="1"/>
    <col min="11022" max="11024" width="13.69921875" style="61" customWidth="1"/>
    <col min="11025" max="11025" width="18" style="61" customWidth="1"/>
    <col min="11026" max="11035" width="7.69921875" style="61"/>
    <col min="11036" max="11039" width="0" style="61" hidden="1" customWidth="1"/>
    <col min="11040" max="11265" width="7.69921875" style="61"/>
    <col min="11266" max="11266" width="2.5" style="61" customWidth="1"/>
    <col min="11267" max="11267" width="7.296875" style="61" customWidth="1"/>
    <col min="11268" max="11268" width="8.296875" style="61" customWidth="1"/>
    <col min="11269" max="11269" width="4.796875" style="61" customWidth="1"/>
    <col min="11270" max="11270" width="8.296875" style="61" customWidth="1"/>
    <col min="11271" max="11271" width="16.19921875" style="61" customWidth="1"/>
    <col min="11272" max="11272" width="9.19921875" style="61" customWidth="1"/>
    <col min="11273" max="11273" width="7.796875" style="61" customWidth="1"/>
    <col min="11274" max="11274" width="10" style="61" customWidth="1"/>
    <col min="11275" max="11275" width="3.796875" style="61" customWidth="1"/>
    <col min="11276" max="11276" width="13.69921875" style="61" customWidth="1"/>
    <col min="11277" max="11277" width="26.69921875" style="61" customWidth="1"/>
    <col min="11278" max="11280" width="13.69921875" style="61" customWidth="1"/>
    <col min="11281" max="11281" width="18" style="61" customWidth="1"/>
    <col min="11282" max="11291" width="7.69921875" style="61"/>
    <col min="11292" max="11295" width="0" style="61" hidden="1" customWidth="1"/>
    <col min="11296" max="11521" width="7.69921875" style="61"/>
    <col min="11522" max="11522" width="2.5" style="61" customWidth="1"/>
    <col min="11523" max="11523" width="7.296875" style="61" customWidth="1"/>
    <col min="11524" max="11524" width="8.296875" style="61" customWidth="1"/>
    <col min="11525" max="11525" width="4.796875" style="61" customWidth="1"/>
    <col min="11526" max="11526" width="8.296875" style="61" customWidth="1"/>
    <col min="11527" max="11527" width="16.19921875" style="61" customWidth="1"/>
    <col min="11528" max="11528" width="9.19921875" style="61" customWidth="1"/>
    <col min="11529" max="11529" width="7.796875" style="61" customWidth="1"/>
    <col min="11530" max="11530" width="10" style="61" customWidth="1"/>
    <col min="11531" max="11531" width="3.796875" style="61" customWidth="1"/>
    <col min="11532" max="11532" width="13.69921875" style="61" customWidth="1"/>
    <col min="11533" max="11533" width="26.69921875" style="61" customWidth="1"/>
    <col min="11534" max="11536" width="13.69921875" style="61" customWidth="1"/>
    <col min="11537" max="11537" width="18" style="61" customWidth="1"/>
    <col min="11538" max="11547" width="7.69921875" style="61"/>
    <col min="11548" max="11551" width="0" style="61" hidden="1" customWidth="1"/>
    <col min="11552" max="11777" width="7.69921875" style="61"/>
    <col min="11778" max="11778" width="2.5" style="61" customWidth="1"/>
    <col min="11779" max="11779" width="7.296875" style="61" customWidth="1"/>
    <col min="11780" max="11780" width="8.296875" style="61" customWidth="1"/>
    <col min="11781" max="11781" width="4.796875" style="61" customWidth="1"/>
    <col min="11782" max="11782" width="8.296875" style="61" customWidth="1"/>
    <col min="11783" max="11783" width="16.19921875" style="61" customWidth="1"/>
    <col min="11784" max="11784" width="9.19921875" style="61" customWidth="1"/>
    <col min="11785" max="11785" width="7.796875" style="61" customWidth="1"/>
    <col min="11786" max="11786" width="10" style="61" customWidth="1"/>
    <col min="11787" max="11787" width="3.796875" style="61" customWidth="1"/>
    <col min="11788" max="11788" width="13.69921875" style="61" customWidth="1"/>
    <col min="11789" max="11789" width="26.69921875" style="61" customWidth="1"/>
    <col min="11790" max="11792" width="13.69921875" style="61" customWidth="1"/>
    <col min="11793" max="11793" width="18" style="61" customWidth="1"/>
    <col min="11794" max="11803" width="7.69921875" style="61"/>
    <col min="11804" max="11807" width="0" style="61" hidden="1" customWidth="1"/>
    <col min="11808" max="12033" width="7.69921875" style="61"/>
    <col min="12034" max="12034" width="2.5" style="61" customWidth="1"/>
    <col min="12035" max="12035" width="7.296875" style="61" customWidth="1"/>
    <col min="12036" max="12036" width="8.296875" style="61" customWidth="1"/>
    <col min="12037" max="12037" width="4.796875" style="61" customWidth="1"/>
    <col min="12038" max="12038" width="8.296875" style="61" customWidth="1"/>
    <col min="12039" max="12039" width="16.19921875" style="61" customWidth="1"/>
    <col min="12040" max="12040" width="9.19921875" style="61" customWidth="1"/>
    <col min="12041" max="12041" width="7.796875" style="61" customWidth="1"/>
    <col min="12042" max="12042" width="10" style="61" customWidth="1"/>
    <col min="12043" max="12043" width="3.796875" style="61" customWidth="1"/>
    <col min="12044" max="12044" width="13.69921875" style="61" customWidth="1"/>
    <col min="12045" max="12045" width="26.69921875" style="61" customWidth="1"/>
    <col min="12046" max="12048" width="13.69921875" style="61" customWidth="1"/>
    <col min="12049" max="12049" width="18" style="61" customWidth="1"/>
    <col min="12050" max="12059" width="7.69921875" style="61"/>
    <col min="12060" max="12063" width="0" style="61" hidden="1" customWidth="1"/>
    <col min="12064" max="12289" width="7.69921875" style="61"/>
    <col min="12290" max="12290" width="2.5" style="61" customWidth="1"/>
    <col min="12291" max="12291" width="7.296875" style="61" customWidth="1"/>
    <col min="12292" max="12292" width="8.296875" style="61" customWidth="1"/>
    <col min="12293" max="12293" width="4.796875" style="61" customWidth="1"/>
    <col min="12294" max="12294" width="8.296875" style="61" customWidth="1"/>
    <col min="12295" max="12295" width="16.19921875" style="61" customWidth="1"/>
    <col min="12296" max="12296" width="9.19921875" style="61" customWidth="1"/>
    <col min="12297" max="12297" width="7.796875" style="61" customWidth="1"/>
    <col min="12298" max="12298" width="10" style="61" customWidth="1"/>
    <col min="12299" max="12299" width="3.796875" style="61" customWidth="1"/>
    <col min="12300" max="12300" width="13.69921875" style="61" customWidth="1"/>
    <col min="12301" max="12301" width="26.69921875" style="61" customWidth="1"/>
    <col min="12302" max="12304" width="13.69921875" style="61" customWidth="1"/>
    <col min="12305" max="12305" width="18" style="61" customWidth="1"/>
    <col min="12306" max="12315" width="7.69921875" style="61"/>
    <col min="12316" max="12319" width="0" style="61" hidden="1" customWidth="1"/>
    <col min="12320" max="12545" width="7.69921875" style="61"/>
    <col min="12546" max="12546" width="2.5" style="61" customWidth="1"/>
    <col min="12547" max="12547" width="7.296875" style="61" customWidth="1"/>
    <col min="12548" max="12548" width="8.296875" style="61" customWidth="1"/>
    <col min="12549" max="12549" width="4.796875" style="61" customWidth="1"/>
    <col min="12550" max="12550" width="8.296875" style="61" customWidth="1"/>
    <col min="12551" max="12551" width="16.19921875" style="61" customWidth="1"/>
    <col min="12552" max="12552" width="9.19921875" style="61" customWidth="1"/>
    <col min="12553" max="12553" width="7.796875" style="61" customWidth="1"/>
    <col min="12554" max="12554" width="10" style="61" customWidth="1"/>
    <col min="12555" max="12555" width="3.796875" style="61" customWidth="1"/>
    <col min="12556" max="12556" width="13.69921875" style="61" customWidth="1"/>
    <col min="12557" max="12557" width="26.69921875" style="61" customWidth="1"/>
    <col min="12558" max="12560" width="13.69921875" style="61" customWidth="1"/>
    <col min="12561" max="12561" width="18" style="61" customWidth="1"/>
    <col min="12562" max="12571" width="7.69921875" style="61"/>
    <col min="12572" max="12575" width="0" style="61" hidden="1" customWidth="1"/>
    <col min="12576" max="12801" width="7.69921875" style="61"/>
    <col min="12802" max="12802" width="2.5" style="61" customWidth="1"/>
    <col min="12803" max="12803" width="7.296875" style="61" customWidth="1"/>
    <col min="12804" max="12804" width="8.296875" style="61" customWidth="1"/>
    <col min="12805" max="12805" width="4.796875" style="61" customWidth="1"/>
    <col min="12806" max="12806" width="8.296875" style="61" customWidth="1"/>
    <col min="12807" max="12807" width="16.19921875" style="61" customWidth="1"/>
    <col min="12808" max="12808" width="9.19921875" style="61" customWidth="1"/>
    <col min="12809" max="12809" width="7.796875" style="61" customWidth="1"/>
    <col min="12810" max="12810" width="10" style="61" customWidth="1"/>
    <col min="12811" max="12811" width="3.796875" style="61" customWidth="1"/>
    <col min="12812" max="12812" width="13.69921875" style="61" customWidth="1"/>
    <col min="12813" max="12813" width="26.69921875" style="61" customWidth="1"/>
    <col min="12814" max="12816" width="13.69921875" style="61" customWidth="1"/>
    <col min="12817" max="12817" width="18" style="61" customWidth="1"/>
    <col min="12818" max="12827" width="7.69921875" style="61"/>
    <col min="12828" max="12831" width="0" style="61" hidden="1" customWidth="1"/>
    <col min="12832" max="13057" width="7.69921875" style="61"/>
    <col min="13058" max="13058" width="2.5" style="61" customWidth="1"/>
    <col min="13059" max="13059" width="7.296875" style="61" customWidth="1"/>
    <col min="13060" max="13060" width="8.296875" style="61" customWidth="1"/>
    <col min="13061" max="13061" width="4.796875" style="61" customWidth="1"/>
    <col min="13062" max="13062" width="8.296875" style="61" customWidth="1"/>
    <col min="13063" max="13063" width="16.19921875" style="61" customWidth="1"/>
    <col min="13064" max="13064" width="9.19921875" style="61" customWidth="1"/>
    <col min="13065" max="13065" width="7.796875" style="61" customWidth="1"/>
    <col min="13066" max="13066" width="10" style="61" customWidth="1"/>
    <col min="13067" max="13067" width="3.796875" style="61" customWidth="1"/>
    <col min="13068" max="13068" width="13.69921875" style="61" customWidth="1"/>
    <col min="13069" max="13069" width="26.69921875" style="61" customWidth="1"/>
    <col min="13070" max="13072" width="13.69921875" style="61" customWidth="1"/>
    <col min="13073" max="13073" width="18" style="61" customWidth="1"/>
    <col min="13074" max="13083" width="7.69921875" style="61"/>
    <col min="13084" max="13087" width="0" style="61" hidden="1" customWidth="1"/>
    <col min="13088" max="13313" width="7.69921875" style="61"/>
    <col min="13314" max="13314" width="2.5" style="61" customWidth="1"/>
    <col min="13315" max="13315" width="7.296875" style="61" customWidth="1"/>
    <col min="13316" max="13316" width="8.296875" style="61" customWidth="1"/>
    <col min="13317" max="13317" width="4.796875" style="61" customWidth="1"/>
    <col min="13318" max="13318" width="8.296875" style="61" customWidth="1"/>
    <col min="13319" max="13319" width="16.19921875" style="61" customWidth="1"/>
    <col min="13320" max="13320" width="9.19921875" style="61" customWidth="1"/>
    <col min="13321" max="13321" width="7.796875" style="61" customWidth="1"/>
    <col min="13322" max="13322" width="10" style="61" customWidth="1"/>
    <col min="13323" max="13323" width="3.796875" style="61" customWidth="1"/>
    <col min="13324" max="13324" width="13.69921875" style="61" customWidth="1"/>
    <col min="13325" max="13325" width="26.69921875" style="61" customWidth="1"/>
    <col min="13326" max="13328" width="13.69921875" style="61" customWidth="1"/>
    <col min="13329" max="13329" width="18" style="61" customWidth="1"/>
    <col min="13330" max="13339" width="7.69921875" style="61"/>
    <col min="13340" max="13343" width="0" style="61" hidden="1" customWidth="1"/>
    <col min="13344" max="13569" width="7.69921875" style="61"/>
    <col min="13570" max="13570" width="2.5" style="61" customWidth="1"/>
    <col min="13571" max="13571" width="7.296875" style="61" customWidth="1"/>
    <col min="13572" max="13572" width="8.296875" style="61" customWidth="1"/>
    <col min="13573" max="13573" width="4.796875" style="61" customWidth="1"/>
    <col min="13574" max="13574" width="8.296875" style="61" customWidth="1"/>
    <col min="13575" max="13575" width="16.19921875" style="61" customWidth="1"/>
    <col min="13576" max="13576" width="9.19921875" style="61" customWidth="1"/>
    <col min="13577" max="13577" width="7.796875" style="61" customWidth="1"/>
    <col min="13578" max="13578" width="10" style="61" customWidth="1"/>
    <col min="13579" max="13579" width="3.796875" style="61" customWidth="1"/>
    <col min="13580" max="13580" width="13.69921875" style="61" customWidth="1"/>
    <col min="13581" max="13581" width="26.69921875" style="61" customWidth="1"/>
    <col min="13582" max="13584" width="13.69921875" style="61" customWidth="1"/>
    <col min="13585" max="13585" width="18" style="61" customWidth="1"/>
    <col min="13586" max="13595" width="7.69921875" style="61"/>
    <col min="13596" max="13599" width="0" style="61" hidden="1" customWidth="1"/>
    <col min="13600" max="13825" width="7.69921875" style="61"/>
    <col min="13826" max="13826" width="2.5" style="61" customWidth="1"/>
    <col min="13827" max="13827" width="7.296875" style="61" customWidth="1"/>
    <col min="13828" max="13828" width="8.296875" style="61" customWidth="1"/>
    <col min="13829" max="13829" width="4.796875" style="61" customWidth="1"/>
    <col min="13830" max="13830" width="8.296875" style="61" customWidth="1"/>
    <col min="13831" max="13831" width="16.19921875" style="61" customWidth="1"/>
    <col min="13832" max="13832" width="9.19921875" style="61" customWidth="1"/>
    <col min="13833" max="13833" width="7.796875" style="61" customWidth="1"/>
    <col min="13834" max="13834" width="10" style="61" customWidth="1"/>
    <col min="13835" max="13835" width="3.796875" style="61" customWidth="1"/>
    <col min="13836" max="13836" width="13.69921875" style="61" customWidth="1"/>
    <col min="13837" max="13837" width="26.69921875" style="61" customWidth="1"/>
    <col min="13838" max="13840" width="13.69921875" style="61" customWidth="1"/>
    <col min="13841" max="13841" width="18" style="61" customWidth="1"/>
    <col min="13842" max="13851" width="7.69921875" style="61"/>
    <col min="13852" max="13855" width="0" style="61" hidden="1" customWidth="1"/>
    <col min="13856" max="14081" width="7.69921875" style="61"/>
    <col min="14082" max="14082" width="2.5" style="61" customWidth="1"/>
    <col min="14083" max="14083" width="7.296875" style="61" customWidth="1"/>
    <col min="14084" max="14084" width="8.296875" style="61" customWidth="1"/>
    <col min="14085" max="14085" width="4.796875" style="61" customWidth="1"/>
    <col min="14086" max="14086" width="8.296875" style="61" customWidth="1"/>
    <col min="14087" max="14087" width="16.19921875" style="61" customWidth="1"/>
    <col min="14088" max="14088" width="9.19921875" style="61" customWidth="1"/>
    <col min="14089" max="14089" width="7.796875" style="61" customWidth="1"/>
    <col min="14090" max="14090" width="10" style="61" customWidth="1"/>
    <col min="14091" max="14091" width="3.796875" style="61" customWidth="1"/>
    <col min="14092" max="14092" width="13.69921875" style="61" customWidth="1"/>
    <col min="14093" max="14093" width="26.69921875" style="61" customWidth="1"/>
    <col min="14094" max="14096" width="13.69921875" style="61" customWidth="1"/>
    <col min="14097" max="14097" width="18" style="61" customWidth="1"/>
    <col min="14098" max="14107" width="7.69921875" style="61"/>
    <col min="14108" max="14111" width="0" style="61" hidden="1" customWidth="1"/>
    <col min="14112" max="14337" width="7.69921875" style="61"/>
    <col min="14338" max="14338" width="2.5" style="61" customWidth="1"/>
    <col min="14339" max="14339" width="7.296875" style="61" customWidth="1"/>
    <col min="14340" max="14340" width="8.296875" style="61" customWidth="1"/>
    <col min="14341" max="14341" width="4.796875" style="61" customWidth="1"/>
    <col min="14342" max="14342" width="8.296875" style="61" customWidth="1"/>
    <col min="14343" max="14343" width="16.19921875" style="61" customWidth="1"/>
    <col min="14344" max="14344" width="9.19921875" style="61" customWidth="1"/>
    <col min="14345" max="14345" width="7.796875" style="61" customWidth="1"/>
    <col min="14346" max="14346" width="10" style="61" customWidth="1"/>
    <col min="14347" max="14347" width="3.796875" style="61" customWidth="1"/>
    <col min="14348" max="14348" width="13.69921875" style="61" customWidth="1"/>
    <col min="14349" max="14349" width="26.69921875" style="61" customWidth="1"/>
    <col min="14350" max="14352" width="13.69921875" style="61" customWidth="1"/>
    <col min="14353" max="14353" width="18" style="61" customWidth="1"/>
    <col min="14354" max="14363" width="7.69921875" style="61"/>
    <col min="14364" max="14367" width="0" style="61" hidden="1" customWidth="1"/>
    <col min="14368" max="14593" width="7.69921875" style="61"/>
    <col min="14594" max="14594" width="2.5" style="61" customWidth="1"/>
    <col min="14595" max="14595" width="7.296875" style="61" customWidth="1"/>
    <col min="14596" max="14596" width="8.296875" style="61" customWidth="1"/>
    <col min="14597" max="14597" width="4.796875" style="61" customWidth="1"/>
    <col min="14598" max="14598" width="8.296875" style="61" customWidth="1"/>
    <col min="14599" max="14599" width="16.19921875" style="61" customWidth="1"/>
    <col min="14600" max="14600" width="9.19921875" style="61" customWidth="1"/>
    <col min="14601" max="14601" width="7.796875" style="61" customWidth="1"/>
    <col min="14602" max="14602" width="10" style="61" customWidth="1"/>
    <col min="14603" max="14603" width="3.796875" style="61" customWidth="1"/>
    <col min="14604" max="14604" width="13.69921875" style="61" customWidth="1"/>
    <col min="14605" max="14605" width="26.69921875" style="61" customWidth="1"/>
    <col min="14606" max="14608" width="13.69921875" style="61" customWidth="1"/>
    <col min="14609" max="14609" width="18" style="61" customWidth="1"/>
    <col min="14610" max="14619" width="7.69921875" style="61"/>
    <col min="14620" max="14623" width="0" style="61" hidden="1" customWidth="1"/>
    <col min="14624" max="14849" width="7.69921875" style="61"/>
    <col min="14850" max="14850" width="2.5" style="61" customWidth="1"/>
    <col min="14851" max="14851" width="7.296875" style="61" customWidth="1"/>
    <col min="14852" max="14852" width="8.296875" style="61" customWidth="1"/>
    <col min="14853" max="14853" width="4.796875" style="61" customWidth="1"/>
    <col min="14854" max="14854" width="8.296875" style="61" customWidth="1"/>
    <col min="14855" max="14855" width="16.19921875" style="61" customWidth="1"/>
    <col min="14856" max="14856" width="9.19921875" style="61" customWidth="1"/>
    <col min="14857" max="14857" width="7.796875" style="61" customWidth="1"/>
    <col min="14858" max="14858" width="10" style="61" customWidth="1"/>
    <col min="14859" max="14859" width="3.796875" style="61" customWidth="1"/>
    <col min="14860" max="14860" width="13.69921875" style="61" customWidth="1"/>
    <col min="14861" max="14861" width="26.69921875" style="61" customWidth="1"/>
    <col min="14862" max="14864" width="13.69921875" style="61" customWidth="1"/>
    <col min="14865" max="14865" width="18" style="61" customWidth="1"/>
    <col min="14866" max="14875" width="7.69921875" style="61"/>
    <col min="14876" max="14879" width="0" style="61" hidden="1" customWidth="1"/>
    <col min="14880" max="15105" width="7.69921875" style="61"/>
    <col min="15106" max="15106" width="2.5" style="61" customWidth="1"/>
    <col min="15107" max="15107" width="7.296875" style="61" customWidth="1"/>
    <col min="15108" max="15108" width="8.296875" style="61" customWidth="1"/>
    <col min="15109" max="15109" width="4.796875" style="61" customWidth="1"/>
    <col min="15110" max="15110" width="8.296875" style="61" customWidth="1"/>
    <col min="15111" max="15111" width="16.19921875" style="61" customWidth="1"/>
    <col min="15112" max="15112" width="9.19921875" style="61" customWidth="1"/>
    <col min="15113" max="15113" width="7.796875" style="61" customWidth="1"/>
    <col min="15114" max="15114" width="10" style="61" customWidth="1"/>
    <col min="15115" max="15115" width="3.796875" style="61" customWidth="1"/>
    <col min="15116" max="15116" width="13.69921875" style="61" customWidth="1"/>
    <col min="15117" max="15117" width="26.69921875" style="61" customWidth="1"/>
    <col min="15118" max="15120" width="13.69921875" style="61" customWidth="1"/>
    <col min="15121" max="15121" width="18" style="61" customWidth="1"/>
    <col min="15122" max="15131" width="7.69921875" style="61"/>
    <col min="15132" max="15135" width="0" style="61" hidden="1" customWidth="1"/>
    <col min="15136" max="15361" width="7.69921875" style="61"/>
    <col min="15362" max="15362" width="2.5" style="61" customWidth="1"/>
    <col min="15363" max="15363" width="7.296875" style="61" customWidth="1"/>
    <col min="15364" max="15364" width="8.296875" style="61" customWidth="1"/>
    <col min="15365" max="15365" width="4.796875" style="61" customWidth="1"/>
    <col min="15366" max="15366" width="8.296875" style="61" customWidth="1"/>
    <col min="15367" max="15367" width="16.19921875" style="61" customWidth="1"/>
    <col min="15368" max="15368" width="9.19921875" style="61" customWidth="1"/>
    <col min="15369" max="15369" width="7.796875" style="61" customWidth="1"/>
    <col min="15370" max="15370" width="10" style="61" customWidth="1"/>
    <col min="15371" max="15371" width="3.796875" style="61" customWidth="1"/>
    <col min="15372" max="15372" width="13.69921875" style="61" customWidth="1"/>
    <col min="15373" max="15373" width="26.69921875" style="61" customWidth="1"/>
    <col min="15374" max="15376" width="13.69921875" style="61" customWidth="1"/>
    <col min="15377" max="15377" width="18" style="61" customWidth="1"/>
    <col min="15378" max="15387" width="7.69921875" style="61"/>
    <col min="15388" max="15391" width="0" style="61" hidden="1" customWidth="1"/>
    <col min="15392" max="15617" width="7.69921875" style="61"/>
    <col min="15618" max="15618" width="2.5" style="61" customWidth="1"/>
    <col min="15619" max="15619" width="7.296875" style="61" customWidth="1"/>
    <col min="15620" max="15620" width="8.296875" style="61" customWidth="1"/>
    <col min="15621" max="15621" width="4.796875" style="61" customWidth="1"/>
    <col min="15622" max="15622" width="8.296875" style="61" customWidth="1"/>
    <col min="15623" max="15623" width="16.19921875" style="61" customWidth="1"/>
    <col min="15624" max="15624" width="9.19921875" style="61" customWidth="1"/>
    <col min="15625" max="15625" width="7.796875" style="61" customWidth="1"/>
    <col min="15626" max="15626" width="10" style="61" customWidth="1"/>
    <col min="15627" max="15627" width="3.796875" style="61" customWidth="1"/>
    <col min="15628" max="15628" width="13.69921875" style="61" customWidth="1"/>
    <col min="15629" max="15629" width="26.69921875" style="61" customWidth="1"/>
    <col min="15630" max="15632" width="13.69921875" style="61" customWidth="1"/>
    <col min="15633" max="15633" width="18" style="61" customWidth="1"/>
    <col min="15634" max="15643" width="7.69921875" style="61"/>
    <col min="15644" max="15647" width="0" style="61" hidden="1" customWidth="1"/>
    <col min="15648" max="15873" width="7.69921875" style="61"/>
    <col min="15874" max="15874" width="2.5" style="61" customWidth="1"/>
    <col min="15875" max="15875" width="7.296875" style="61" customWidth="1"/>
    <col min="15876" max="15876" width="8.296875" style="61" customWidth="1"/>
    <col min="15877" max="15877" width="4.796875" style="61" customWidth="1"/>
    <col min="15878" max="15878" width="8.296875" style="61" customWidth="1"/>
    <col min="15879" max="15879" width="16.19921875" style="61" customWidth="1"/>
    <col min="15880" max="15880" width="9.19921875" style="61" customWidth="1"/>
    <col min="15881" max="15881" width="7.796875" style="61" customWidth="1"/>
    <col min="15882" max="15882" width="10" style="61" customWidth="1"/>
    <col min="15883" max="15883" width="3.796875" style="61" customWidth="1"/>
    <col min="15884" max="15884" width="13.69921875" style="61" customWidth="1"/>
    <col min="15885" max="15885" width="26.69921875" style="61" customWidth="1"/>
    <col min="15886" max="15888" width="13.69921875" style="61" customWidth="1"/>
    <col min="15889" max="15889" width="18" style="61" customWidth="1"/>
    <col min="15890" max="15899" width="7.69921875" style="61"/>
    <col min="15900" max="15903" width="0" style="61" hidden="1" customWidth="1"/>
    <col min="15904" max="16129" width="7.69921875" style="61"/>
    <col min="16130" max="16130" width="2.5" style="61" customWidth="1"/>
    <col min="16131" max="16131" width="7.296875" style="61" customWidth="1"/>
    <col min="16132" max="16132" width="8.296875" style="61" customWidth="1"/>
    <col min="16133" max="16133" width="4.796875" style="61" customWidth="1"/>
    <col min="16134" max="16134" width="8.296875" style="61" customWidth="1"/>
    <col min="16135" max="16135" width="16.19921875" style="61" customWidth="1"/>
    <col min="16136" max="16136" width="9.19921875" style="61" customWidth="1"/>
    <col min="16137" max="16137" width="7.796875" style="61" customWidth="1"/>
    <col min="16138" max="16138" width="10" style="61" customWidth="1"/>
    <col min="16139" max="16139" width="3.796875" style="61" customWidth="1"/>
    <col min="16140" max="16140" width="13.69921875" style="61" customWidth="1"/>
    <col min="16141" max="16141" width="26.69921875" style="61" customWidth="1"/>
    <col min="16142" max="16144" width="13.69921875" style="61" customWidth="1"/>
    <col min="16145" max="16145" width="18" style="61" customWidth="1"/>
    <col min="16146" max="16155" width="7.69921875" style="61"/>
    <col min="16156" max="16159" width="0" style="61" hidden="1" customWidth="1"/>
    <col min="16160" max="16384" width="7.69921875" style="61"/>
  </cols>
  <sheetData>
    <row r="1" spans="1:31" s="66" customFormat="1" ht="15" customHeight="1">
      <c r="B1" s="184"/>
      <c r="C1" s="184"/>
      <c r="M1" s="65" t="s">
        <v>392</v>
      </c>
    </row>
    <row r="2" spans="1:31" s="74" customFormat="1" ht="15" customHeight="1">
      <c r="A2" s="75" t="s">
        <v>393</v>
      </c>
      <c r="B2" s="73"/>
      <c r="C2" s="73"/>
      <c r="D2" s="65"/>
      <c r="E2" s="65"/>
      <c r="F2" s="65"/>
      <c r="G2" s="65"/>
      <c r="H2" s="65"/>
      <c r="I2" s="158" t="str">
        <f>'SP11-1'!$L$2</f>
        <v>Spreadsheet released 14-Apr-2023</v>
      </c>
      <c r="J2" s="158"/>
      <c r="K2" s="65"/>
      <c r="M2" s="159" t="s">
        <v>394</v>
      </c>
      <c r="N2" s="65"/>
      <c r="O2" s="65"/>
      <c r="P2" s="65"/>
      <c r="Q2" s="65"/>
      <c r="R2" s="65"/>
      <c r="S2" s="65"/>
      <c r="T2" s="65"/>
      <c r="U2" s="65"/>
      <c r="V2" s="65"/>
      <c r="W2" s="65"/>
      <c r="X2" s="65"/>
      <c r="Y2" s="65"/>
      <c r="Z2" s="65"/>
      <c r="AA2" s="65"/>
    </row>
    <row r="3" spans="1:31" s="66" customFormat="1" ht="15" customHeight="1">
      <c r="A3" s="73" t="s">
        <v>572</v>
      </c>
      <c r="B3" s="73"/>
      <c r="C3" s="73"/>
      <c r="D3" s="65"/>
      <c r="E3" s="65"/>
      <c r="F3" s="65"/>
      <c r="G3" s="65"/>
      <c r="H3" s="65"/>
      <c r="I3" s="65"/>
      <c r="J3" s="65"/>
      <c r="K3" s="65"/>
      <c r="L3" s="65"/>
      <c r="M3" s="65"/>
      <c r="N3" s="65"/>
      <c r="O3" s="65"/>
      <c r="P3" s="65"/>
      <c r="Q3" s="65"/>
      <c r="R3" s="65"/>
      <c r="S3" s="65"/>
      <c r="T3" s="65"/>
      <c r="U3" s="65"/>
      <c r="V3" s="65"/>
      <c r="W3" s="65"/>
      <c r="X3" s="65"/>
      <c r="Y3" s="65"/>
      <c r="Z3" s="65"/>
      <c r="AA3" s="65"/>
    </row>
    <row r="4" spans="1:31" s="74" customFormat="1" ht="15" customHeight="1">
      <c r="A4" s="75"/>
      <c r="B4" s="726" t="s">
        <v>998</v>
      </c>
      <c r="C4" s="726"/>
      <c r="D4" s="726"/>
      <c r="E4" s="726"/>
      <c r="F4" s="726"/>
      <c r="G4" s="726"/>
      <c r="H4" s="726"/>
      <c r="I4" s="726"/>
      <c r="J4" s="726"/>
      <c r="K4" s="726"/>
      <c r="L4" s="65"/>
      <c r="M4" s="65"/>
      <c r="N4" s="65"/>
      <c r="O4" s="65"/>
      <c r="P4" s="65"/>
      <c r="Q4" s="65"/>
      <c r="R4" s="65"/>
      <c r="S4" s="65"/>
      <c r="T4" s="65"/>
      <c r="U4" s="65"/>
      <c r="V4" s="65"/>
      <c r="W4" s="65"/>
      <c r="X4" s="65"/>
      <c r="Y4" s="65"/>
      <c r="Z4" s="65"/>
      <c r="AA4" s="65"/>
    </row>
    <row r="5" spans="1:31" s="74" customFormat="1" ht="146.25" customHeight="1">
      <c r="A5" s="75"/>
      <c r="B5" s="726"/>
      <c r="C5" s="726"/>
      <c r="D5" s="726"/>
      <c r="E5" s="726"/>
      <c r="F5" s="726"/>
      <c r="G5" s="726"/>
      <c r="H5" s="726"/>
      <c r="I5" s="726"/>
      <c r="J5" s="726"/>
      <c r="K5" s="726"/>
      <c r="L5" s="65"/>
      <c r="M5" s="65"/>
      <c r="N5" s="65"/>
      <c r="O5" s="65"/>
      <c r="P5" s="65"/>
      <c r="Q5" s="65"/>
      <c r="R5" s="65"/>
      <c r="S5" s="65"/>
      <c r="T5" s="65"/>
      <c r="U5" s="65"/>
      <c r="V5" s="65"/>
      <c r="W5" s="65"/>
      <c r="X5" s="65"/>
      <c r="Y5" s="65"/>
      <c r="Z5" s="65"/>
      <c r="AA5" s="65"/>
    </row>
    <row r="6" spans="1:31" s="66" customFormat="1" ht="7.5" customHeight="1">
      <c r="A6" s="70"/>
      <c r="B6" s="70"/>
      <c r="C6" s="70"/>
      <c r="D6" s="65"/>
      <c r="E6" s="65"/>
      <c r="F6" s="65"/>
      <c r="G6" s="65"/>
      <c r="H6" s="65"/>
      <c r="I6" s="65"/>
      <c r="J6" s="65"/>
      <c r="K6" s="65"/>
      <c r="L6" s="65"/>
      <c r="M6" s="65"/>
      <c r="N6" s="65"/>
      <c r="O6" s="65"/>
      <c r="P6" s="65"/>
      <c r="Q6" s="65"/>
      <c r="R6" s="65"/>
      <c r="S6" s="65"/>
      <c r="T6" s="65"/>
      <c r="U6" s="65"/>
      <c r="V6" s="65"/>
      <c r="W6" s="65"/>
      <c r="X6" s="65"/>
      <c r="Y6" s="65"/>
      <c r="Z6" s="65"/>
      <c r="AA6" s="65"/>
    </row>
    <row r="7" spans="1:31" s="66" customFormat="1" ht="3.75" customHeight="1">
      <c r="A7" s="271"/>
      <c r="B7" s="271"/>
      <c r="C7" s="271"/>
      <c r="D7" s="274"/>
      <c r="E7" s="274"/>
      <c r="F7" s="274"/>
      <c r="G7" s="274"/>
      <c r="H7" s="274"/>
      <c r="I7" s="274"/>
      <c r="J7" s="274"/>
      <c r="K7" s="274"/>
      <c r="L7" s="65"/>
      <c r="M7" s="65"/>
      <c r="N7" s="65"/>
      <c r="O7" s="65"/>
      <c r="P7" s="65"/>
      <c r="Q7" s="65"/>
      <c r="R7" s="65"/>
      <c r="S7" s="65"/>
      <c r="T7" s="65"/>
      <c r="U7" s="65"/>
      <c r="V7" s="65"/>
      <c r="W7" s="65"/>
      <c r="X7" s="65"/>
      <c r="Y7" s="65"/>
      <c r="Z7" s="65"/>
      <c r="AA7" s="65"/>
    </row>
    <row r="8" spans="1:31" ht="19.5" customHeight="1">
      <c r="A8" s="325"/>
      <c r="B8" s="723" t="s">
        <v>573</v>
      </c>
      <c r="C8" s="723"/>
      <c r="D8" s="723"/>
      <c r="E8" s="723"/>
      <c r="F8" s="723"/>
      <c r="G8" s="325"/>
      <c r="H8" s="325"/>
      <c r="I8" s="325"/>
      <c r="J8" s="325"/>
      <c r="K8" s="325"/>
      <c r="L8" s="63"/>
      <c r="M8" s="63"/>
      <c r="N8" s="63"/>
      <c r="O8" s="63"/>
      <c r="P8" s="63"/>
      <c r="Q8" s="63"/>
      <c r="R8" s="63"/>
      <c r="S8" s="63"/>
      <c r="T8" s="63"/>
      <c r="U8" s="63"/>
      <c r="V8" s="63"/>
      <c r="W8" s="63"/>
      <c r="X8" s="63"/>
      <c r="Y8" s="63"/>
      <c r="Z8" s="63"/>
      <c r="AA8" s="63"/>
    </row>
    <row r="9" spans="1:31" ht="19.5" customHeight="1">
      <c r="A9" s="325"/>
      <c r="B9" s="274" t="s">
        <v>574</v>
      </c>
      <c r="C9" s="274"/>
      <c r="D9" s="274"/>
      <c r="E9" s="274"/>
      <c r="F9" s="274"/>
      <c r="G9" s="274"/>
      <c r="H9" s="274"/>
      <c r="I9" s="486"/>
      <c r="J9" s="274"/>
      <c r="K9" s="274"/>
      <c r="L9" s="63"/>
      <c r="M9" s="620" t="s">
        <v>550</v>
      </c>
      <c r="N9" s="620"/>
      <c r="O9" s="620"/>
      <c r="P9" s="620"/>
      <c r="Q9" s="620"/>
      <c r="R9" s="63"/>
      <c r="S9" s="63"/>
      <c r="T9" s="63"/>
      <c r="U9" s="63"/>
      <c r="V9" s="63"/>
      <c r="W9" s="63"/>
      <c r="X9" s="63"/>
      <c r="Y9" s="63"/>
      <c r="Z9" s="63"/>
      <c r="AA9" s="63"/>
    </row>
    <row r="10" spans="1:31" ht="19.5" customHeight="1">
      <c r="A10" s="273">
        <v>1</v>
      </c>
      <c r="B10" s="597" t="s">
        <v>575</v>
      </c>
      <c r="C10" s="597"/>
      <c r="D10" s="597"/>
      <c r="E10" s="597"/>
      <c r="F10" s="597"/>
      <c r="G10" s="597"/>
      <c r="H10" s="597"/>
      <c r="I10" s="336"/>
      <c r="J10" s="336"/>
      <c r="K10" s="336"/>
      <c r="L10" s="63"/>
      <c r="M10" s="63"/>
      <c r="R10" s="63"/>
      <c r="S10" s="63"/>
      <c r="T10" s="63"/>
      <c r="U10" s="63"/>
      <c r="V10" s="63"/>
      <c r="W10" s="63"/>
      <c r="X10" s="63"/>
      <c r="Y10" s="63"/>
      <c r="Z10" s="63"/>
      <c r="AA10" s="63"/>
    </row>
    <row r="11" spans="1:31" ht="40.5" customHeight="1">
      <c r="A11" s="273"/>
      <c r="B11" s="721" t="s">
        <v>968</v>
      </c>
      <c r="C11" s="721"/>
      <c r="D11" s="721"/>
      <c r="E11" s="721"/>
      <c r="F11" s="721"/>
      <c r="G11" s="721"/>
      <c r="H11" s="721"/>
      <c r="I11" s="721"/>
      <c r="J11" s="721"/>
      <c r="K11" s="721"/>
      <c r="L11" s="63"/>
      <c r="M11" s="63"/>
      <c r="R11" s="63"/>
      <c r="S11" s="63"/>
      <c r="T11" s="63"/>
      <c r="U11" s="63"/>
      <c r="V11" s="63"/>
      <c r="W11" s="63"/>
      <c r="X11" s="63"/>
      <c r="Y11" s="63"/>
      <c r="Z11" s="63"/>
      <c r="AA11" s="63"/>
    </row>
    <row r="12" spans="1:31" ht="19.5" customHeight="1">
      <c r="A12" s="271"/>
      <c r="B12" s="271" t="s">
        <v>576</v>
      </c>
      <c r="C12" s="490"/>
      <c r="D12" s="324" t="s">
        <v>949</v>
      </c>
      <c r="E12" s="490"/>
      <c r="F12" s="324" t="s">
        <v>566</v>
      </c>
      <c r="G12" s="342">
        <f>G74</f>
        <v>-0.98064352657801512</v>
      </c>
      <c r="H12" s="466"/>
      <c r="I12" s="472" t="s">
        <v>965</v>
      </c>
      <c r="J12" s="341">
        <f>SUM(J15:J21)</f>
        <v>0</v>
      </c>
      <c r="K12" s="273" t="s">
        <v>497</v>
      </c>
      <c r="L12" s="63"/>
      <c r="M12" s="727" t="s">
        <v>986</v>
      </c>
      <c r="N12" s="728"/>
      <c r="O12" s="728"/>
      <c r="P12" s="728"/>
      <c r="Q12" s="729"/>
      <c r="R12" s="63"/>
      <c r="U12" s="63"/>
      <c r="V12" s="63"/>
      <c r="W12" s="63"/>
      <c r="X12" s="63"/>
      <c r="Y12" s="63"/>
      <c r="Z12" s="63"/>
      <c r="AA12" s="63"/>
      <c r="AB12" s="202">
        <v>0.04</v>
      </c>
      <c r="AC12" s="63"/>
      <c r="AD12" s="202">
        <v>0.08</v>
      </c>
      <c r="AE12" s="63"/>
    </row>
    <row r="13" spans="1:31" ht="8.25" customHeight="1">
      <c r="A13" s="271"/>
      <c r="B13" s="271"/>
      <c r="C13" s="271"/>
      <c r="D13" s="271"/>
      <c r="E13" s="271"/>
      <c r="F13" s="271"/>
      <c r="G13" s="271"/>
      <c r="H13" s="271"/>
      <c r="I13" s="271"/>
      <c r="J13" s="271"/>
      <c r="K13" s="271"/>
      <c r="L13" s="63"/>
      <c r="M13" s="730"/>
      <c r="N13" s="731"/>
      <c r="O13" s="731"/>
      <c r="P13" s="731"/>
      <c r="Q13" s="732"/>
      <c r="R13" s="63"/>
      <c r="U13" s="63"/>
      <c r="V13" s="63"/>
      <c r="W13" s="63"/>
      <c r="X13" s="63"/>
      <c r="Y13" s="63"/>
      <c r="Z13" s="63"/>
      <c r="AA13" s="63"/>
      <c r="AB13" s="202"/>
      <c r="AC13" s="63"/>
      <c r="AD13" s="202"/>
      <c r="AE13" s="63"/>
    </row>
    <row r="14" spans="1:31" ht="41.25" customHeight="1">
      <c r="A14" s="271"/>
      <c r="B14" s="271" t="s">
        <v>943</v>
      </c>
      <c r="C14" s="324"/>
      <c r="D14" s="458" t="s">
        <v>950</v>
      </c>
      <c r="E14" s="324"/>
      <c r="F14" s="458" t="s">
        <v>964</v>
      </c>
      <c r="G14" s="324"/>
      <c r="H14" s="466" t="s">
        <v>1000</v>
      </c>
      <c r="I14" s="271"/>
      <c r="J14" s="468" t="s">
        <v>952</v>
      </c>
      <c r="K14" s="325"/>
      <c r="L14" s="63"/>
      <c r="M14" s="730"/>
      <c r="N14" s="731"/>
      <c r="O14" s="731"/>
      <c r="P14" s="731"/>
      <c r="Q14" s="732"/>
      <c r="R14" s="63"/>
      <c r="U14" s="63"/>
      <c r="V14" s="63"/>
      <c r="W14" s="63"/>
      <c r="X14" s="63"/>
      <c r="Y14" s="63"/>
      <c r="Z14" s="63"/>
      <c r="AA14" s="63"/>
      <c r="AB14" s="202"/>
      <c r="AC14" s="63"/>
      <c r="AD14" s="202"/>
      <c r="AE14" s="63"/>
    </row>
    <row r="15" spans="1:31" ht="19.5" customHeight="1">
      <c r="A15" s="271"/>
      <c r="B15" s="271">
        <v>1</v>
      </c>
      <c r="C15" s="324" t="s">
        <v>963</v>
      </c>
      <c r="D15" s="469">
        <f>'Tables NEW TABLES'!M24</f>
        <v>0</v>
      </c>
      <c r="E15" s="360" t="s">
        <v>444</v>
      </c>
      <c r="F15" s="341">
        <f>'Tables NEW TABLES'!O24</f>
        <v>0</v>
      </c>
      <c r="G15" s="324" t="s">
        <v>962</v>
      </c>
      <c r="H15" s="473">
        <f>'Tables NEW TABLES'!K24</f>
        <v>0.18525073911712145</v>
      </c>
      <c r="I15" s="324" t="s">
        <v>951</v>
      </c>
      <c r="J15" s="341">
        <f>'Tables NEW TABLES'!P24*$G$12</f>
        <v>0</v>
      </c>
      <c r="K15" s="325"/>
      <c r="L15" s="63"/>
      <c r="M15" s="730"/>
      <c r="N15" s="731"/>
      <c r="O15" s="731"/>
      <c r="P15" s="731"/>
      <c r="Q15" s="732"/>
      <c r="R15" s="63"/>
      <c r="U15" s="63"/>
      <c r="V15" s="63"/>
      <c r="W15" s="63"/>
      <c r="X15" s="63"/>
      <c r="Y15" s="63"/>
      <c r="Z15" s="63"/>
      <c r="AA15" s="63"/>
      <c r="AB15" s="202"/>
      <c r="AC15" s="63"/>
      <c r="AD15" s="202"/>
      <c r="AE15" s="63"/>
    </row>
    <row r="16" spans="1:31" ht="19.5" customHeight="1">
      <c r="A16" s="271"/>
      <c r="B16" s="271">
        <v>2</v>
      </c>
      <c r="C16" s="324" t="s">
        <v>963</v>
      </c>
      <c r="D16" s="469">
        <f>'Tables NEW TABLES'!M25</f>
        <v>0</v>
      </c>
      <c r="E16" s="360" t="s">
        <v>444</v>
      </c>
      <c r="F16" s="341">
        <f>'Tables NEW TABLES'!O25</f>
        <v>0</v>
      </c>
      <c r="G16" s="324" t="s">
        <v>962</v>
      </c>
      <c r="H16" s="473">
        <f>'Tables NEW TABLES'!K25</f>
        <v>0.19158763074141602</v>
      </c>
      <c r="I16" s="324" t="s">
        <v>951</v>
      </c>
      <c r="J16" s="341">
        <f>'Tables NEW TABLES'!P25*$G$12</f>
        <v>0</v>
      </c>
      <c r="K16" s="325"/>
      <c r="L16" s="63"/>
      <c r="M16" s="730"/>
      <c r="N16" s="731"/>
      <c r="O16" s="731"/>
      <c r="P16" s="731"/>
      <c r="Q16" s="732"/>
      <c r="R16" s="63"/>
      <c r="U16" s="63"/>
      <c r="V16" s="63"/>
      <c r="W16" s="63"/>
      <c r="X16" s="63"/>
      <c r="Y16" s="63"/>
      <c r="Z16" s="63"/>
      <c r="AA16" s="63"/>
      <c r="AB16" s="202"/>
      <c r="AC16" s="63"/>
      <c r="AD16" s="202"/>
      <c r="AE16" s="63"/>
    </row>
    <row r="17" spans="1:31" ht="19.5" customHeight="1">
      <c r="A17" s="271"/>
      <c r="B17" s="271">
        <v>3</v>
      </c>
      <c r="C17" s="324" t="s">
        <v>963</v>
      </c>
      <c r="D17" s="469">
        <f>'Tables NEW TABLES'!M26</f>
        <v>0</v>
      </c>
      <c r="E17" s="360" t="s">
        <v>444</v>
      </c>
      <c r="F17" s="341">
        <f>'Tables NEW TABLES'!O26</f>
        <v>0</v>
      </c>
      <c r="G17" s="324" t="s">
        <v>962</v>
      </c>
      <c r="H17" s="473">
        <f>'Tables NEW TABLES'!K26</f>
        <v>0.17028772534466954</v>
      </c>
      <c r="I17" s="324" t="s">
        <v>951</v>
      </c>
      <c r="J17" s="341">
        <f>'Tables NEW TABLES'!P26*$G$12</f>
        <v>0</v>
      </c>
      <c r="K17" s="325"/>
      <c r="L17" s="63"/>
      <c r="M17" s="730"/>
      <c r="N17" s="731"/>
      <c r="O17" s="731"/>
      <c r="P17" s="731"/>
      <c r="Q17" s="732"/>
      <c r="R17" s="63"/>
      <c r="U17" s="63"/>
      <c r="V17" s="63"/>
      <c r="W17" s="63"/>
      <c r="X17" s="63"/>
      <c r="Y17" s="63"/>
      <c r="Z17" s="63"/>
      <c r="AA17" s="63"/>
      <c r="AB17" s="202"/>
      <c r="AC17" s="63"/>
      <c r="AD17" s="202"/>
      <c r="AE17" s="63"/>
    </row>
    <row r="18" spans="1:31" ht="19.5" customHeight="1">
      <c r="A18" s="271"/>
      <c r="B18" s="271">
        <v>4</v>
      </c>
      <c r="C18" s="324" t="s">
        <v>963</v>
      </c>
      <c r="D18" s="469">
        <f>'Tables NEW TABLES'!M27</f>
        <v>0</v>
      </c>
      <c r="E18" s="360" t="s">
        <v>444</v>
      </c>
      <c r="F18" s="341">
        <f>'Tables NEW TABLES'!O27</f>
        <v>0</v>
      </c>
      <c r="G18" s="324" t="s">
        <v>962</v>
      </c>
      <c r="H18" s="473">
        <f>'Tables NEW TABLES'!K27</f>
        <v>0.11252148976605865</v>
      </c>
      <c r="I18" s="324" t="s">
        <v>951</v>
      </c>
      <c r="J18" s="341">
        <f>'Tables NEW TABLES'!P27*$G$12</f>
        <v>0</v>
      </c>
      <c r="K18" s="325"/>
      <c r="L18" s="63"/>
      <c r="M18" s="730"/>
      <c r="N18" s="731"/>
      <c r="O18" s="731"/>
      <c r="P18" s="731"/>
      <c r="Q18" s="732"/>
      <c r="R18" s="63"/>
      <c r="U18" s="63"/>
      <c r="V18" s="63"/>
      <c r="W18" s="63"/>
      <c r="X18" s="63"/>
      <c r="Y18" s="63"/>
      <c r="Z18" s="63"/>
      <c r="AA18" s="63"/>
      <c r="AB18" s="202"/>
      <c r="AC18" s="63"/>
      <c r="AD18" s="202"/>
      <c r="AE18" s="63"/>
    </row>
    <row r="19" spans="1:31" ht="19.5" customHeight="1">
      <c r="A19" s="271"/>
      <c r="B19" s="271">
        <v>5</v>
      </c>
      <c r="C19" s="324" t="s">
        <v>963</v>
      </c>
      <c r="D19" s="469">
        <f>'Tables NEW TABLES'!M28</f>
        <v>0</v>
      </c>
      <c r="E19" s="360" t="s">
        <v>444</v>
      </c>
      <c r="F19" s="341">
        <f>'Tables NEW TABLES'!O28</f>
        <v>0</v>
      </c>
      <c r="G19" s="324" t="s">
        <v>962</v>
      </c>
      <c r="H19" s="473">
        <f>'Tables NEW TABLES'!K28</f>
        <v>0.12813398586838592</v>
      </c>
      <c r="I19" s="324" t="s">
        <v>951</v>
      </c>
      <c r="J19" s="341">
        <f>'Tables NEW TABLES'!P28*$G$12</f>
        <v>0</v>
      </c>
      <c r="K19" s="325"/>
      <c r="L19" s="63"/>
      <c r="M19" s="730"/>
      <c r="N19" s="731"/>
      <c r="O19" s="731"/>
      <c r="P19" s="731"/>
      <c r="Q19" s="732"/>
      <c r="R19" s="63"/>
      <c r="U19" s="63"/>
      <c r="V19" s="63"/>
      <c r="W19" s="63"/>
      <c r="X19" s="63"/>
      <c r="Y19" s="63"/>
      <c r="Z19" s="63"/>
      <c r="AA19" s="63"/>
      <c r="AB19" s="202"/>
      <c r="AC19" s="63"/>
      <c r="AD19" s="202"/>
      <c r="AE19" s="63"/>
    </row>
    <row r="20" spans="1:31" ht="19.5" customHeight="1">
      <c r="A20" s="271"/>
      <c r="B20" s="271">
        <v>6</v>
      </c>
      <c r="C20" s="324" t="s">
        <v>963</v>
      </c>
      <c r="D20" s="469">
        <f>'Tables NEW TABLES'!M29</f>
        <v>0</v>
      </c>
      <c r="E20" s="360" t="s">
        <v>444</v>
      </c>
      <c r="F20" s="341">
        <f>'Tables NEW TABLES'!O29</f>
        <v>0</v>
      </c>
      <c r="G20" s="324" t="s">
        <v>962</v>
      </c>
      <c r="H20" s="473">
        <f>'Tables NEW TABLES'!K29</f>
        <v>4.148463250046959E-2</v>
      </c>
      <c r="I20" s="324" t="s">
        <v>951</v>
      </c>
      <c r="J20" s="341">
        <f>'Tables NEW TABLES'!P29*$G$12</f>
        <v>0</v>
      </c>
      <c r="K20" s="325"/>
      <c r="L20" s="63"/>
      <c r="M20" s="730"/>
      <c r="N20" s="731"/>
      <c r="O20" s="731"/>
      <c r="P20" s="731"/>
      <c r="Q20" s="732"/>
      <c r="R20" s="63"/>
      <c r="S20" s="63"/>
      <c r="T20" s="63"/>
      <c r="U20" s="63"/>
      <c r="V20" s="63"/>
      <c r="W20" s="63"/>
      <c r="X20" s="63"/>
      <c r="Y20" s="63"/>
      <c r="Z20" s="63"/>
      <c r="AA20" s="63"/>
      <c r="AB20" s="202"/>
      <c r="AC20" s="63"/>
      <c r="AD20" s="202"/>
      <c r="AE20" s="63"/>
    </row>
    <row r="21" spans="1:31" ht="19.5" customHeight="1">
      <c r="A21" s="271"/>
      <c r="B21" s="271">
        <v>7</v>
      </c>
      <c r="C21" s="324" t="s">
        <v>963</v>
      </c>
      <c r="D21" s="469">
        <f>'Tables NEW TABLES'!M30</f>
        <v>0</v>
      </c>
      <c r="E21" s="360" t="s">
        <v>444</v>
      </c>
      <c r="F21" s="341">
        <f>'Tables NEW TABLES'!O30</f>
        <v>0</v>
      </c>
      <c r="G21" s="324" t="s">
        <v>962</v>
      </c>
      <c r="H21" s="473">
        <f>'Tables NEW TABLES'!K30</f>
        <v>0.17073379666187888</v>
      </c>
      <c r="I21" s="324" t="s">
        <v>951</v>
      </c>
      <c r="J21" s="341">
        <f>'Tables NEW TABLES'!P30*$G$12</f>
        <v>0</v>
      </c>
      <c r="K21" s="325"/>
      <c r="L21" s="63"/>
      <c r="M21" s="730"/>
      <c r="N21" s="731"/>
      <c r="O21" s="731"/>
      <c r="P21" s="731"/>
      <c r="Q21" s="732"/>
      <c r="R21" s="63"/>
      <c r="S21" s="63"/>
      <c r="T21" s="63"/>
      <c r="U21" s="63"/>
      <c r="V21" s="63"/>
      <c r="W21" s="63"/>
      <c r="X21" s="63"/>
      <c r="Y21" s="63"/>
      <c r="Z21" s="63"/>
      <c r="AA21" s="63"/>
      <c r="AB21" s="202"/>
      <c r="AC21" s="63"/>
      <c r="AD21" s="202"/>
      <c r="AE21" s="63"/>
    </row>
    <row r="22" spans="1:31" ht="7.5" customHeight="1">
      <c r="A22" s="271"/>
      <c r="B22" s="325"/>
      <c r="C22" s="325"/>
      <c r="D22" s="325"/>
      <c r="E22" s="325"/>
      <c r="F22" s="325"/>
      <c r="G22" s="336"/>
      <c r="H22" s="336"/>
      <c r="I22" s="336"/>
      <c r="J22" s="336"/>
      <c r="K22" s="336"/>
      <c r="L22" s="63"/>
      <c r="M22" s="730"/>
      <c r="N22" s="731"/>
      <c r="O22" s="731"/>
      <c r="P22" s="731"/>
      <c r="Q22" s="732"/>
      <c r="R22" s="63"/>
      <c r="S22" s="63"/>
      <c r="T22" s="63"/>
      <c r="U22" s="63"/>
      <c r="V22" s="63"/>
      <c r="W22" s="63"/>
      <c r="X22" s="63"/>
      <c r="Y22" s="63"/>
      <c r="Z22" s="63"/>
      <c r="AA22" s="63"/>
      <c r="AB22" s="79">
        <f>$C12*$E12*H70*2.7*365</f>
        <v>0</v>
      </c>
      <c r="AC22" s="63"/>
      <c r="AD22" s="79" t="e">
        <f>$C12*$E12*F73*2.7*365</f>
        <v>#VALUE!</v>
      </c>
      <c r="AE22" s="63">
        <f>J12/G12*(39+780*I$9)</f>
        <v>0</v>
      </c>
    </row>
    <row r="23" spans="1:31" ht="2.25" customHeight="1" thickBot="1">
      <c r="A23" s="338"/>
      <c r="B23" s="339"/>
      <c r="C23" s="339"/>
      <c r="D23" s="339"/>
      <c r="E23" s="339"/>
      <c r="F23" s="339"/>
      <c r="G23" s="339"/>
      <c r="H23" s="339"/>
      <c r="I23" s="339"/>
      <c r="J23" s="339"/>
      <c r="K23" s="339"/>
      <c r="L23" s="63"/>
      <c r="M23" s="730"/>
      <c r="N23" s="731"/>
      <c r="O23" s="731"/>
      <c r="P23" s="731"/>
      <c r="Q23" s="732"/>
      <c r="R23" s="63"/>
      <c r="S23" s="63"/>
      <c r="T23" s="63"/>
      <c r="U23" s="63"/>
      <c r="V23" s="63"/>
      <c r="W23" s="63"/>
      <c r="X23" s="63"/>
      <c r="Y23" s="63"/>
      <c r="Z23" s="63"/>
      <c r="AA23" s="63"/>
      <c r="AB23" s="63"/>
      <c r="AC23" s="63"/>
      <c r="AD23" s="63"/>
      <c r="AE23" s="63"/>
    </row>
    <row r="24" spans="1:31" ht="28.5" customHeight="1" thickTop="1">
      <c r="A24" s="273">
        <v>2</v>
      </c>
      <c r="B24" s="725" t="s">
        <v>578</v>
      </c>
      <c r="C24" s="725"/>
      <c r="D24" s="725"/>
      <c r="E24" s="725"/>
      <c r="F24" s="725"/>
      <c r="G24" s="725"/>
      <c r="H24" s="725"/>
      <c r="I24" s="725"/>
      <c r="J24" s="725"/>
      <c r="K24" s="725"/>
      <c r="L24" s="63"/>
      <c r="M24" s="730"/>
      <c r="N24" s="731"/>
      <c r="O24" s="731"/>
      <c r="P24" s="731"/>
      <c r="Q24" s="732"/>
      <c r="R24" s="63"/>
      <c r="S24" s="63"/>
      <c r="T24" s="63"/>
      <c r="U24" s="63"/>
      <c r="V24" s="63"/>
      <c r="W24" s="63"/>
      <c r="X24" s="63"/>
      <c r="Y24" s="63"/>
      <c r="Z24" s="63"/>
      <c r="AA24" s="63"/>
      <c r="AB24" s="63"/>
      <c r="AC24" s="63"/>
      <c r="AD24" s="63"/>
      <c r="AE24" s="63"/>
    </row>
    <row r="25" spans="1:31" ht="19.5" customHeight="1">
      <c r="A25" s="271"/>
      <c r="B25" s="325" t="s">
        <v>934</v>
      </c>
      <c r="C25" s="325"/>
      <c r="D25" s="325"/>
      <c r="E25" s="325"/>
      <c r="F25" s="325"/>
      <c r="G25" s="325"/>
      <c r="H25" s="325"/>
      <c r="I25" s="325"/>
      <c r="J25" s="325"/>
      <c r="K25" s="325"/>
      <c r="L25" s="63"/>
      <c r="M25" s="730"/>
      <c r="N25" s="731"/>
      <c r="O25" s="731"/>
      <c r="P25" s="731"/>
      <c r="Q25" s="732"/>
      <c r="R25" s="63"/>
      <c r="S25" s="63"/>
      <c r="T25" s="63"/>
      <c r="U25" s="63"/>
      <c r="V25" s="63"/>
      <c r="W25" s="63"/>
      <c r="X25" s="63"/>
      <c r="Y25" s="63"/>
      <c r="Z25" s="63"/>
      <c r="AA25" s="63"/>
      <c r="AB25" s="63"/>
      <c r="AC25" s="63"/>
      <c r="AD25" s="63"/>
      <c r="AE25" s="63"/>
    </row>
    <row r="26" spans="1:31" ht="19.5" customHeight="1">
      <c r="A26" s="271"/>
      <c r="B26" s="271"/>
      <c r="C26" s="324"/>
      <c r="D26" s="324" t="s">
        <v>579</v>
      </c>
      <c r="E26" s="344"/>
      <c r="F26" s="271" t="s">
        <v>933</v>
      </c>
      <c r="G26" s="342">
        <f>G74</f>
        <v>-0.98064352657801512</v>
      </c>
      <c r="H26" s="324"/>
      <c r="I26" s="324" t="s">
        <v>577</v>
      </c>
      <c r="J26" s="341">
        <f>E26*365*'Tables NEW TABLES'!M21*G26</f>
        <v>0</v>
      </c>
      <c r="K26" s="273" t="s">
        <v>508</v>
      </c>
      <c r="L26" s="63"/>
      <c r="M26" s="730"/>
      <c r="N26" s="731"/>
      <c r="O26" s="731"/>
      <c r="P26" s="731"/>
      <c r="Q26" s="732"/>
      <c r="R26" s="63"/>
      <c r="S26" s="63"/>
      <c r="T26" s="63"/>
      <c r="U26" s="63"/>
      <c r="V26" s="63"/>
      <c r="W26" s="63"/>
      <c r="X26" s="63"/>
      <c r="Y26" s="63"/>
      <c r="Z26" s="63"/>
      <c r="AA26" s="63"/>
      <c r="AB26" s="63"/>
      <c r="AC26" s="63"/>
      <c r="AD26" s="63"/>
      <c r="AE26" s="63"/>
    </row>
    <row r="27" spans="1:31" ht="15" customHeight="1">
      <c r="A27" s="271"/>
      <c r="B27" s="271"/>
      <c r="C27" s="324"/>
      <c r="D27" s="324"/>
      <c r="E27" s="325"/>
      <c r="F27" s="325"/>
      <c r="G27" s="325"/>
      <c r="H27" s="325"/>
      <c r="I27" s="325"/>
      <c r="J27" s="325"/>
      <c r="K27" s="324"/>
      <c r="L27" s="63"/>
      <c r="M27" s="730"/>
      <c r="N27" s="731"/>
      <c r="O27" s="731"/>
      <c r="P27" s="731"/>
      <c r="Q27" s="732"/>
      <c r="R27" s="63"/>
      <c r="S27" s="63"/>
      <c r="T27" s="63"/>
      <c r="U27" s="63"/>
      <c r="V27" s="63"/>
      <c r="W27" s="63"/>
      <c r="X27" s="63"/>
      <c r="Y27" s="63"/>
      <c r="Z27" s="63"/>
      <c r="AA27" s="63"/>
      <c r="AB27" s="79">
        <f>$E26*H70*2.7*365</f>
        <v>0</v>
      </c>
      <c r="AC27" s="63"/>
      <c r="AD27" s="79" t="e">
        <f>$E26*F73*2.7*365</f>
        <v>#VALUE!</v>
      </c>
      <c r="AE27" s="63">
        <f>J26/G26*(39+780*I$9)</f>
        <v>0</v>
      </c>
    </row>
    <row r="28" spans="1:31" ht="4.5" customHeight="1" thickBot="1">
      <c r="A28" s="338"/>
      <c r="B28" s="339"/>
      <c r="C28" s="339"/>
      <c r="D28" s="339"/>
      <c r="E28" s="339"/>
      <c r="F28" s="339"/>
      <c r="G28" s="339"/>
      <c r="H28" s="339"/>
      <c r="I28" s="339"/>
      <c r="J28" s="339"/>
      <c r="K28" s="339"/>
      <c r="L28" s="63"/>
      <c r="M28" s="730"/>
      <c r="N28" s="731"/>
      <c r="O28" s="731"/>
      <c r="P28" s="731"/>
      <c r="Q28" s="732"/>
      <c r="R28" s="63"/>
      <c r="S28" s="63"/>
      <c r="T28" s="63"/>
      <c r="U28" s="63"/>
      <c r="V28" s="63"/>
      <c r="W28" s="63"/>
      <c r="X28" s="63"/>
      <c r="Y28" s="63"/>
      <c r="Z28" s="63"/>
      <c r="AA28" s="63"/>
      <c r="AB28" s="63"/>
      <c r="AC28" s="63"/>
      <c r="AD28" s="63"/>
      <c r="AE28" s="63"/>
    </row>
    <row r="29" spans="1:31" ht="19.5" customHeight="1" thickTop="1">
      <c r="A29" s="325"/>
      <c r="B29" s="723" t="s">
        <v>580</v>
      </c>
      <c r="C29" s="723"/>
      <c r="D29" s="723"/>
      <c r="E29" s="723"/>
      <c r="F29" s="723"/>
      <c r="G29" s="274"/>
      <c r="H29" s="274"/>
      <c r="I29" s="274"/>
      <c r="J29" s="274"/>
      <c r="K29" s="274"/>
      <c r="L29" s="63"/>
      <c r="M29" s="730"/>
      <c r="N29" s="731"/>
      <c r="O29" s="731"/>
      <c r="P29" s="731"/>
      <c r="Q29" s="732"/>
      <c r="R29" s="63"/>
      <c r="S29" s="63"/>
      <c r="T29" s="63"/>
      <c r="U29" s="63"/>
      <c r="V29" s="63"/>
      <c r="W29" s="63"/>
      <c r="X29" s="63"/>
      <c r="Y29" s="63"/>
      <c r="Z29" s="63"/>
      <c r="AA29" s="63"/>
      <c r="AB29" s="63"/>
      <c r="AC29" s="63"/>
      <c r="AD29" s="63"/>
      <c r="AE29" s="63"/>
    </row>
    <row r="30" spans="1:31" ht="19.5" customHeight="1">
      <c r="A30" s="325"/>
      <c r="B30" s="274" t="s">
        <v>581</v>
      </c>
      <c r="C30" s="274"/>
      <c r="D30" s="274"/>
      <c r="E30" s="274"/>
      <c r="F30" s="274"/>
      <c r="G30" s="274"/>
      <c r="H30" s="274"/>
      <c r="I30" s="343"/>
      <c r="J30" s="274"/>
      <c r="K30" s="274"/>
      <c r="L30" s="63"/>
      <c r="M30" s="730"/>
      <c r="N30" s="731"/>
      <c r="O30" s="731"/>
      <c r="P30" s="731"/>
      <c r="Q30" s="732"/>
      <c r="R30" s="63"/>
      <c r="S30" s="63"/>
      <c r="T30" s="63"/>
      <c r="U30" s="63"/>
      <c r="V30" s="63"/>
      <c r="W30" s="63"/>
      <c r="X30" s="63"/>
      <c r="Y30" s="63"/>
      <c r="Z30" s="63"/>
      <c r="AA30" s="63"/>
      <c r="AB30" s="63"/>
      <c r="AC30" s="63"/>
      <c r="AD30" s="63"/>
      <c r="AE30" s="63"/>
    </row>
    <row r="31" spans="1:31" ht="19.5" customHeight="1">
      <c r="A31" s="273">
        <v>3</v>
      </c>
      <c r="B31" s="721" t="s">
        <v>582</v>
      </c>
      <c r="C31" s="721"/>
      <c r="D31" s="721"/>
      <c r="E31" s="721"/>
      <c r="F31" s="721"/>
      <c r="G31" s="721"/>
      <c r="H31" s="721"/>
      <c r="I31" s="721"/>
      <c r="J31" s="458"/>
      <c r="K31" s="340"/>
      <c r="L31" s="63"/>
      <c r="M31" s="730"/>
      <c r="N31" s="731"/>
      <c r="O31" s="731"/>
      <c r="P31" s="731"/>
      <c r="Q31" s="732"/>
      <c r="R31" s="63"/>
      <c r="S31" s="63"/>
      <c r="T31" s="63"/>
      <c r="U31" s="63"/>
      <c r="V31" s="63"/>
      <c r="W31" s="63"/>
      <c r="X31" s="63"/>
      <c r="Y31" s="63"/>
      <c r="Z31" s="63"/>
      <c r="AA31" s="63"/>
      <c r="AB31" s="63"/>
      <c r="AC31" s="63"/>
      <c r="AD31" s="63"/>
      <c r="AE31" s="63"/>
    </row>
    <row r="32" spans="1:31" ht="42" customHeight="1">
      <c r="A32" s="273"/>
      <c r="B32" s="721" t="s">
        <v>966</v>
      </c>
      <c r="C32" s="721"/>
      <c r="D32" s="721"/>
      <c r="E32" s="721"/>
      <c r="F32" s="721"/>
      <c r="G32" s="721"/>
      <c r="H32" s="721"/>
      <c r="I32" s="721"/>
      <c r="J32" s="721"/>
      <c r="K32" s="721"/>
      <c r="L32" s="63"/>
      <c r="M32" s="730"/>
      <c r="N32" s="731"/>
      <c r="O32" s="731"/>
      <c r="P32" s="731"/>
      <c r="Q32" s="732"/>
      <c r="R32" s="63"/>
      <c r="S32" s="63"/>
      <c r="T32" s="63"/>
      <c r="U32" s="63"/>
      <c r="V32" s="63"/>
      <c r="W32" s="63"/>
      <c r="X32" s="63"/>
      <c r="Y32" s="63"/>
      <c r="Z32" s="63"/>
      <c r="AA32" s="63"/>
      <c r="AB32" s="63"/>
      <c r="AC32" s="63"/>
      <c r="AD32" s="63"/>
      <c r="AE32" s="63"/>
    </row>
    <row r="33" spans="1:31" ht="19.5" customHeight="1">
      <c r="A33" s="271"/>
      <c r="B33" s="271" t="s">
        <v>576</v>
      </c>
      <c r="C33" s="344"/>
      <c r="D33" s="324" t="s">
        <v>949</v>
      </c>
      <c r="E33" s="344"/>
      <c r="F33" s="324" t="s">
        <v>566</v>
      </c>
      <c r="G33" s="342">
        <f>G12</f>
        <v>-0.98064352657801512</v>
      </c>
      <c r="H33" s="324"/>
      <c r="I33" s="472" t="s">
        <v>965</v>
      </c>
      <c r="J33" s="341">
        <f>SUM(J36:J42)</f>
        <v>0</v>
      </c>
      <c r="K33" s="273" t="s">
        <v>511</v>
      </c>
      <c r="L33" s="63"/>
      <c r="M33" s="730"/>
      <c r="N33" s="731"/>
      <c r="O33" s="731"/>
      <c r="P33" s="731"/>
      <c r="Q33" s="732"/>
      <c r="R33" s="63"/>
      <c r="S33" s="63"/>
      <c r="T33" s="63"/>
      <c r="U33" s="63"/>
      <c r="V33" s="63"/>
      <c r="W33" s="63"/>
      <c r="X33" s="63"/>
      <c r="Y33" s="63"/>
      <c r="Z33" s="63"/>
      <c r="AA33" s="63"/>
      <c r="AB33" s="63"/>
      <c r="AC33" s="63"/>
      <c r="AD33" s="63"/>
      <c r="AE33" s="63"/>
    </row>
    <row r="34" spans="1:31" ht="9" customHeight="1">
      <c r="A34" s="271"/>
      <c r="B34" s="324"/>
      <c r="C34" s="324"/>
      <c r="D34" s="324"/>
      <c r="E34" s="324"/>
      <c r="F34" s="324"/>
      <c r="G34" s="324"/>
      <c r="H34" s="324"/>
      <c r="I34" s="324"/>
      <c r="J34" s="324"/>
      <c r="K34" s="324"/>
      <c r="L34" s="63"/>
      <c r="M34" s="730"/>
      <c r="N34" s="731"/>
      <c r="O34" s="731"/>
      <c r="P34" s="731"/>
      <c r="Q34" s="732"/>
      <c r="R34" s="63"/>
      <c r="S34" s="63"/>
      <c r="T34" s="63"/>
      <c r="U34" s="63"/>
      <c r="V34" s="63"/>
      <c r="W34" s="63"/>
      <c r="X34" s="63"/>
      <c r="Y34" s="63"/>
      <c r="Z34" s="63"/>
      <c r="AA34" s="63"/>
      <c r="AB34" s="63"/>
      <c r="AC34" s="63"/>
      <c r="AD34" s="63"/>
      <c r="AE34" s="63"/>
    </row>
    <row r="35" spans="1:31" ht="45" customHeight="1">
      <c r="A35" s="271"/>
      <c r="B35" s="271" t="s">
        <v>943</v>
      </c>
      <c r="C35" s="324"/>
      <c r="D35" s="458" t="s">
        <v>950</v>
      </c>
      <c r="E35" s="324"/>
      <c r="F35" s="458" t="s">
        <v>953</v>
      </c>
      <c r="G35" s="324"/>
      <c r="H35" s="466" t="s">
        <v>1000</v>
      </c>
      <c r="I35" s="271"/>
      <c r="J35" s="468" t="s">
        <v>952</v>
      </c>
      <c r="K35" s="273"/>
      <c r="L35" s="63"/>
      <c r="M35" s="730"/>
      <c r="N35" s="731"/>
      <c r="O35" s="731"/>
      <c r="P35" s="731"/>
      <c r="Q35" s="732"/>
      <c r="R35" s="63"/>
      <c r="S35" s="63"/>
      <c r="T35" s="63"/>
      <c r="U35" s="63"/>
      <c r="V35" s="63"/>
      <c r="W35" s="63"/>
      <c r="X35" s="63"/>
      <c r="Y35" s="63"/>
      <c r="Z35" s="63"/>
      <c r="AA35" s="63"/>
      <c r="AB35" s="63"/>
      <c r="AC35" s="63"/>
      <c r="AD35" s="63"/>
      <c r="AE35" s="63"/>
    </row>
    <row r="36" spans="1:31" ht="19.5" customHeight="1">
      <c r="A36" s="271"/>
      <c r="B36" s="271">
        <v>1</v>
      </c>
      <c r="C36" s="271" t="s">
        <v>967</v>
      </c>
      <c r="D36" s="469">
        <f>'Tables NEW TABLES'!M33</f>
        <v>0</v>
      </c>
      <c r="E36" s="360" t="s">
        <v>444</v>
      </c>
      <c r="F36" s="341">
        <f>'Tables NEW TABLES'!O33</f>
        <v>0</v>
      </c>
      <c r="G36" s="324" t="s">
        <v>962</v>
      </c>
      <c r="H36" s="467">
        <f>'Tables NEW TABLES'!K33</f>
        <v>0.25606796116504899</v>
      </c>
      <c r="I36" s="324" t="s">
        <v>951</v>
      </c>
      <c r="J36" s="341">
        <f>'Tables NEW TABLES'!P33*$G$33</f>
        <v>0</v>
      </c>
      <c r="K36" s="273"/>
      <c r="L36" s="63"/>
      <c r="M36" s="730"/>
      <c r="N36" s="731"/>
      <c r="O36" s="731"/>
      <c r="P36" s="731"/>
      <c r="Q36" s="732"/>
      <c r="R36" s="63"/>
      <c r="S36" s="63"/>
      <c r="T36" s="63"/>
      <c r="U36" s="63"/>
      <c r="V36" s="63"/>
      <c r="W36" s="63"/>
      <c r="X36" s="63"/>
      <c r="Y36" s="63"/>
      <c r="Z36" s="63"/>
      <c r="AA36" s="63"/>
      <c r="AB36" s="63"/>
      <c r="AC36" s="63"/>
      <c r="AD36" s="63"/>
      <c r="AE36" s="63"/>
    </row>
    <row r="37" spans="1:31" ht="19.5" customHeight="1">
      <c r="A37" s="271"/>
      <c r="B37" s="271">
        <v>2</v>
      </c>
      <c r="C37" s="271" t="s">
        <v>967</v>
      </c>
      <c r="D37" s="469">
        <f>'Tables NEW TABLES'!M34</f>
        <v>0</v>
      </c>
      <c r="E37" s="360" t="s">
        <v>444</v>
      </c>
      <c r="F37" s="341">
        <f>'Tables NEW TABLES'!O34</f>
        <v>0</v>
      </c>
      <c r="G37" s="324" t="s">
        <v>962</v>
      </c>
      <c r="H37" s="467">
        <f>'Tables NEW TABLES'!K34</f>
        <v>0.21692961165048544</v>
      </c>
      <c r="I37" s="324" t="s">
        <v>951</v>
      </c>
      <c r="J37" s="341">
        <f>'Tables NEW TABLES'!P34*$G$33</f>
        <v>0</v>
      </c>
      <c r="K37" s="273"/>
      <c r="L37" s="63"/>
      <c r="M37" s="730"/>
      <c r="N37" s="731"/>
      <c r="O37" s="731"/>
      <c r="P37" s="731"/>
      <c r="Q37" s="732"/>
      <c r="R37" s="63"/>
      <c r="S37" s="63"/>
      <c r="T37" s="63"/>
      <c r="U37" s="63"/>
      <c r="V37" s="63"/>
      <c r="W37" s="63"/>
      <c r="X37" s="63"/>
      <c r="Y37" s="63"/>
      <c r="Z37" s="63"/>
      <c r="AA37" s="63"/>
      <c r="AB37" s="63"/>
      <c r="AC37" s="63"/>
      <c r="AD37" s="63"/>
      <c r="AE37" s="63"/>
    </row>
    <row r="38" spans="1:31" ht="19.5" customHeight="1">
      <c r="A38" s="271"/>
      <c r="B38" s="271">
        <v>3</v>
      </c>
      <c r="C38" s="271" t="s">
        <v>967</v>
      </c>
      <c r="D38" s="469">
        <f>'Tables NEW TABLES'!M35</f>
        <v>0</v>
      </c>
      <c r="E38" s="360" t="s">
        <v>444</v>
      </c>
      <c r="F38" s="341">
        <f>'Tables NEW TABLES'!O35</f>
        <v>0</v>
      </c>
      <c r="G38" s="324" t="s">
        <v>962</v>
      </c>
      <c r="H38" s="467">
        <f>'Tables NEW TABLES'!K35</f>
        <v>0.17657766990291263</v>
      </c>
      <c r="I38" s="324" t="s">
        <v>951</v>
      </c>
      <c r="J38" s="341">
        <f>'Tables NEW TABLES'!P35*$G$33</f>
        <v>0</v>
      </c>
      <c r="K38" s="273"/>
      <c r="L38" s="63"/>
      <c r="M38" s="730"/>
      <c r="N38" s="731"/>
      <c r="O38" s="731"/>
      <c r="P38" s="731"/>
      <c r="Q38" s="732"/>
      <c r="R38" s="63"/>
      <c r="S38" s="63"/>
      <c r="T38" s="63"/>
      <c r="U38" s="63"/>
      <c r="V38" s="63"/>
      <c r="W38" s="63"/>
      <c r="X38" s="63"/>
      <c r="Y38" s="63"/>
      <c r="Z38" s="63"/>
      <c r="AA38" s="63"/>
      <c r="AB38" s="63"/>
      <c r="AC38" s="63"/>
      <c r="AD38" s="63"/>
      <c r="AE38" s="63"/>
    </row>
    <row r="39" spans="1:31" ht="19.5" customHeight="1">
      <c r="A39" s="271"/>
      <c r="B39" s="271">
        <v>4</v>
      </c>
      <c r="C39" s="271" t="s">
        <v>967</v>
      </c>
      <c r="D39" s="469">
        <f>'Tables NEW TABLES'!M36</f>
        <v>0</v>
      </c>
      <c r="E39" s="360" t="s">
        <v>444</v>
      </c>
      <c r="F39" s="341">
        <f>'Tables NEW TABLES'!O36</f>
        <v>0</v>
      </c>
      <c r="G39" s="324" t="s">
        <v>962</v>
      </c>
      <c r="H39" s="467">
        <f>'Tables NEW TABLES'!K36</f>
        <v>0.14654126213592233</v>
      </c>
      <c r="I39" s="324" t="s">
        <v>951</v>
      </c>
      <c r="J39" s="341">
        <f>'Tables NEW TABLES'!P36*$G$33</f>
        <v>0</v>
      </c>
      <c r="K39" s="273"/>
      <c r="L39" s="63"/>
      <c r="M39" s="730"/>
      <c r="N39" s="731"/>
      <c r="O39" s="731"/>
      <c r="P39" s="731"/>
      <c r="Q39" s="732"/>
      <c r="R39" s="63"/>
      <c r="S39" s="63"/>
      <c r="T39" s="63"/>
      <c r="U39" s="63"/>
      <c r="V39" s="63"/>
      <c r="W39" s="63"/>
      <c r="X39" s="63"/>
      <c r="Y39" s="63"/>
      <c r="Z39" s="63"/>
      <c r="AA39" s="63"/>
      <c r="AB39" s="63"/>
      <c r="AC39" s="63"/>
      <c r="AD39" s="63"/>
      <c r="AE39" s="63"/>
    </row>
    <row r="40" spans="1:31" ht="19.5" customHeight="1">
      <c r="A40" s="271"/>
      <c r="B40" s="271">
        <v>5</v>
      </c>
      <c r="C40" s="271" t="s">
        <v>967</v>
      </c>
      <c r="D40" s="469">
        <f>'Tables NEW TABLES'!M37</f>
        <v>0</v>
      </c>
      <c r="E40" s="360" t="s">
        <v>444</v>
      </c>
      <c r="F40" s="341">
        <f>'Tables NEW TABLES'!O37</f>
        <v>0</v>
      </c>
      <c r="G40" s="324" t="s">
        <v>962</v>
      </c>
      <c r="H40" s="467">
        <f>'Tables NEW TABLES'!K37</f>
        <v>0.1104368932038835</v>
      </c>
      <c r="I40" s="324" t="s">
        <v>951</v>
      </c>
      <c r="J40" s="341">
        <f>'Tables NEW TABLES'!P37*$G$33</f>
        <v>0</v>
      </c>
      <c r="K40" s="273"/>
      <c r="L40" s="63"/>
      <c r="M40" s="730"/>
      <c r="N40" s="731"/>
      <c r="O40" s="731"/>
      <c r="P40" s="731"/>
      <c r="Q40" s="732"/>
      <c r="R40" s="63"/>
      <c r="S40" s="63"/>
      <c r="T40" s="63"/>
      <c r="U40" s="63"/>
      <c r="V40" s="63"/>
      <c r="W40" s="63"/>
      <c r="X40" s="63"/>
      <c r="Y40" s="63"/>
      <c r="Z40" s="63"/>
      <c r="AA40" s="63"/>
      <c r="AB40" s="63"/>
      <c r="AC40" s="63"/>
      <c r="AD40" s="63"/>
      <c r="AE40" s="63"/>
    </row>
    <row r="41" spans="1:31" ht="19.5" customHeight="1">
      <c r="A41" s="271"/>
      <c r="B41" s="271">
        <v>6</v>
      </c>
      <c r="C41" s="271" t="s">
        <v>967</v>
      </c>
      <c r="D41" s="469">
        <f>'Tables NEW TABLES'!M38</f>
        <v>0</v>
      </c>
      <c r="E41" s="360" t="s">
        <v>444</v>
      </c>
      <c r="F41" s="341">
        <f>'Tables NEW TABLES'!O38</f>
        <v>0</v>
      </c>
      <c r="G41" s="324" t="s">
        <v>962</v>
      </c>
      <c r="H41" s="467">
        <f>'Tables NEW TABLES'!K38</f>
        <v>4.6116504854368932E-2</v>
      </c>
      <c r="I41" s="324" t="s">
        <v>951</v>
      </c>
      <c r="J41" s="341">
        <f>'Tables NEW TABLES'!P38*$G$33</f>
        <v>0</v>
      </c>
      <c r="K41" s="273"/>
      <c r="L41" s="63"/>
      <c r="M41" s="730"/>
      <c r="N41" s="731"/>
      <c r="O41" s="731"/>
      <c r="P41" s="731"/>
      <c r="Q41" s="732"/>
      <c r="R41" s="63"/>
      <c r="S41" s="63"/>
      <c r="T41" s="63"/>
      <c r="U41" s="63"/>
      <c r="V41" s="63"/>
      <c r="W41" s="63"/>
      <c r="X41" s="63"/>
      <c r="Y41" s="63"/>
      <c r="Z41" s="63"/>
      <c r="AA41" s="63"/>
      <c r="AB41" s="63"/>
      <c r="AC41" s="63"/>
      <c r="AD41" s="63"/>
      <c r="AE41" s="63"/>
    </row>
    <row r="42" spans="1:31" ht="19.5" customHeight="1">
      <c r="A42" s="271"/>
      <c r="B42" s="271">
        <v>7</v>
      </c>
      <c r="C42" s="271" t="s">
        <v>967</v>
      </c>
      <c r="D42" s="469">
        <f>'Tables NEW TABLES'!M39</f>
        <v>0</v>
      </c>
      <c r="E42" s="360" t="s">
        <v>444</v>
      </c>
      <c r="F42" s="341">
        <f>'Tables NEW TABLES'!O39</f>
        <v>0</v>
      </c>
      <c r="G42" s="324" t="s">
        <v>962</v>
      </c>
      <c r="H42" s="467">
        <f>'Tables NEW TABLES'!K39</f>
        <v>4.7330097087378641E-2</v>
      </c>
      <c r="I42" s="324" t="s">
        <v>951</v>
      </c>
      <c r="J42" s="341">
        <f>'Tables NEW TABLES'!P39*$G$33</f>
        <v>0</v>
      </c>
      <c r="K42" s="273"/>
      <c r="L42" s="63"/>
      <c r="M42" s="730"/>
      <c r="N42" s="731"/>
      <c r="O42" s="731"/>
      <c r="P42" s="731"/>
      <c r="Q42" s="732"/>
      <c r="R42" s="63"/>
      <c r="S42" s="63"/>
      <c r="T42" s="63"/>
      <c r="U42" s="63"/>
      <c r="V42" s="63"/>
      <c r="W42" s="63"/>
      <c r="X42" s="63"/>
      <c r="Y42" s="63"/>
      <c r="Z42" s="63"/>
      <c r="AA42" s="63"/>
      <c r="AB42" s="63"/>
      <c r="AC42" s="63"/>
      <c r="AD42" s="63"/>
      <c r="AE42" s="63"/>
    </row>
    <row r="43" spans="1:31" ht="5.25" customHeight="1" thickBot="1">
      <c r="A43" s="338"/>
      <c r="B43" s="339"/>
      <c r="C43" s="339"/>
      <c r="D43" s="339"/>
      <c r="E43" s="339"/>
      <c r="F43" s="339"/>
      <c r="G43" s="339"/>
      <c r="H43" s="339"/>
      <c r="I43" s="339"/>
      <c r="J43" s="339"/>
      <c r="K43" s="339"/>
      <c r="L43" s="63"/>
      <c r="M43" s="730"/>
      <c r="N43" s="731"/>
      <c r="O43" s="731"/>
      <c r="P43" s="731"/>
      <c r="Q43" s="732"/>
      <c r="R43" s="63"/>
      <c r="S43" s="63"/>
      <c r="T43" s="63"/>
      <c r="U43" s="63"/>
      <c r="V43" s="63"/>
      <c r="W43" s="63"/>
      <c r="X43" s="63"/>
      <c r="Y43" s="63"/>
      <c r="Z43" s="63"/>
      <c r="AA43" s="63"/>
      <c r="AB43" s="79">
        <f>$C33*$E33*F72*1.4*365</f>
        <v>0</v>
      </c>
      <c r="AC43" s="63"/>
      <c r="AD43" s="79">
        <f>$C33*$E33*F74*1.4*365</f>
        <v>0</v>
      </c>
      <c r="AE43" s="203">
        <f>J33/G33*(39+780*I$30)</f>
        <v>0</v>
      </c>
    </row>
    <row r="44" spans="1:31" ht="24.75" customHeight="1" thickTop="1">
      <c r="A44" s="273">
        <v>4</v>
      </c>
      <c r="B44" s="725" t="s">
        <v>583</v>
      </c>
      <c r="C44" s="725"/>
      <c r="D44" s="725"/>
      <c r="E44" s="725"/>
      <c r="F44" s="725"/>
      <c r="G44" s="725"/>
      <c r="H44" s="725"/>
      <c r="I44" s="725"/>
      <c r="J44" s="458"/>
      <c r="K44" s="325"/>
      <c r="L44" s="63"/>
      <c r="M44" s="730"/>
      <c r="N44" s="731"/>
      <c r="O44" s="731"/>
      <c r="P44" s="731"/>
      <c r="Q44" s="732"/>
      <c r="R44" s="63"/>
      <c r="S44" s="63"/>
      <c r="T44" s="63"/>
      <c r="U44" s="63"/>
      <c r="V44" s="63"/>
      <c r="W44" s="63"/>
      <c r="X44" s="63"/>
      <c r="Y44" s="63"/>
      <c r="Z44" s="63"/>
      <c r="AA44" s="63"/>
      <c r="AB44" s="63"/>
      <c r="AC44" s="63"/>
      <c r="AD44" s="63"/>
      <c r="AE44" s="63"/>
    </row>
    <row r="45" spans="1:31" ht="19.5" customHeight="1">
      <c r="A45" s="271"/>
      <c r="B45" s="325" t="s">
        <v>932</v>
      </c>
      <c r="C45" s="325"/>
      <c r="D45" s="325"/>
      <c r="E45" s="325"/>
      <c r="F45" s="325"/>
      <c r="G45" s="325"/>
      <c r="H45" s="325"/>
      <c r="I45" s="325"/>
      <c r="J45" s="325"/>
      <c r="K45" s="325"/>
      <c r="L45" s="63"/>
      <c r="M45" s="730"/>
      <c r="N45" s="731"/>
      <c r="O45" s="731"/>
      <c r="P45" s="731"/>
      <c r="Q45" s="732"/>
      <c r="R45" s="63"/>
      <c r="S45" s="63"/>
      <c r="T45" s="63"/>
      <c r="U45" s="63"/>
      <c r="V45" s="63"/>
      <c r="W45" s="63"/>
      <c r="X45" s="63"/>
      <c r="Y45" s="63"/>
      <c r="Z45" s="63"/>
      <c r="AA45" s="63"/>
      <c r="AB45" s="63"/>
      <c r="AC45" s="63"/>
      <c r="AD45" s="63"/>
      <c r="AE45" s="63"/>
    </row>
    <row r="46" spans="1:31" ht="19.5" customHeight="1">
      <c r="A46" s="271"/>
      <c r="B46" s="271"/>
      <c r="C46" s="324"/>
      <c r="D46" s="324" t="s">
        <v>584</v>
      </c>
      <c r="E46" s="344"/>
      <c r="F46" s="271" t="s">
        <v>931</v>
      </c>
      <c r="G46" s="342">
        <f>F74</f>
        <v>-0.98064352657801512</v>
      </c>
      <c r="H46" s="274"/>
      <c r="I46" s="324" t="s">
        <v>577</v>
      </c>
      <c r="J46" s="341">
        <f>$E46*365*'Tables NEW TABLES'!M19*G46</f>
        <v>0</v>
      </c>
      <c r="K46" s="273" t="s">
        <v>528</v>
      </c>
      <c r="L46" s="63"/>
      <c r="M46" s="733"/>
      <c r="N46" s="734"/>
      <c r="O46" s="734"/>
      <c r="P46" s="734"/>
      <c r="Q46" s="735"/>
      <c r="R46" s="63"/>
      <c r="S46" s="63"/>
      <c r="T46" s="63"/>
      <c r="U46" s="63"/>
      <c r="V46" s="63"/>
      <c r="W46" s="63"/>
      <c r="X46" s="63"/>
      <c r="Y46" s="63"/>
      <c r="Z46" s="63"/>
      <c r="AA46" s="63"/>
      <c r="AB46" s="63"/>
      <c r="AC46" s="63"/>
      <c r="AD46" s="63"/>
      <c r="AE46" s="63"/>
    </row>
    <row r="47" spans="1:31" ht="15" customHeight="1">
      <c r="A47" s="271"/>
      <c r="B47" s="325"/>
      <c r="C47" s="325"/>
      <c r="D47" s="325"/>
      <c r="E47" s="325"/>
      <c r="F47" s="325"/>
      <c r="G47" s="336"/>
      <c r="H47" s="336"/>
      <c r="I47" s="336"/>
      <c r="J47" s="336"/>
      <c r="K47" s="324"/>
      <c r="L47" s="63"/>
      <c r="M47" s="63"/>
      <c r="R47" s="63"/>
      <c r="S47" s="63"/>
      <c r="T47" s="63"/>
      <c r="U47" s="63"/>
      <c r="V47" s="63"/>
      <c r="W47" s="63"/>
      <c r="X47" s="63"/>
      <c r="Y47" s="63"/>
      <c r="Z47" s="63"/>
      <c r="AA47" s="63"/>
      <c r="AB47" s="79">
        <f>$E46*365*4.2*F72</f>
        <v>0</v>
      </c>
      <c r="AC47" s="63"/>
      <c r="AD47" s="79">
        <f>$E46*365*4.2*F74</f>
        <v>0</v>
      </c>
      <c r="AE47" s="203">
        <f>J46/G46*(39+780*I$30)</f>
        <v>0</v>
      </c>
    </row>
    <row r="48" spans="1:31" ht="4.5" customHeight="1" thickBot="1">
      <c r="A48" s="338"/>
      <c r="B48" s="339"/>
      <c r="C48" s="339"/>
      <c r="D48" s="339"/>
      <c r="E48" s="339"/>
      <c r="F48" s="339"/>
      <c r="G48" s="339"/>
      <c r="H48" s="339"/>
      <c r="I48" s="339"/>
      <c r="J48" s="339"/>
      <c r="K48" s="339"/>
      <c r="L48" s="63"/>
      <c r="M48" s="63"/>
      <c r="R48" s="63"/>
      <c r="S48" s="63"/>
      <c r="T48" s="63"/>
      <c r="U48" s="63"/>
      <c r="V48" s="63"/>
      <c r="W48" s="63"/>
      <c r="X48" s="63"/>
      <c r="Y48" s="63"/>
      <c r="Z48" s="63"/>
      <c r="AA48" s="63"/>
      <c r="AB48" s="63"/>
      <c r="AC48" s="63"/>
      <c r="AD48" s="63"/>
      <c r="AE48" s="63"/>
    </row>
    <row r="49" spans="1:31" ht="19.5" customHeight="1" thickTop="1">
      <c r="A49" s="325"/>
      <c r="B49" s="723" t="s">
        <v>585</v>
      </c>
      <c r="C49" s="723"/>
      <c r="D49" s="723"/>
      <c r="E49" s="723"/>
      <c r="F49" s="723"/>
      <c r="G49" s="274"/>
      <c r="H49" s="274"/>
      <c r="I49" s="274"/>
      <c r="J49" s="274"/>
      <c r="K49" s="274"/>
      <c r="L49" s="63"/>
      <c r="M49" s="724" t="s">
        <v>987</v>
      </c>
      <c r="N49" s="724"/>
      <c r="O49" s="724"/>
      <c r="P49" s="724"/>
      <c r="Q49" s="724"/>
      <c r="R49" s="63"/>
      <c r="S49" s="63"/>
      <c r="T49" s="63"/>
      <c r="U49" s="63"/>
      <c r="V49" s="63"/>
      <c r="W49" s="63"/>
      <c r="X49" s="63"/>
      <c r="Y49" s="63"/>
      <c r="Z49" s="63"/>
      <c r="AA49" s="63"/>
      <c r="AB49" s="63"/>
      <c r="AC49" s="63"/>
      <c r="AD49" s="63"/>
      <c r="AE49" s="63"/>
    </row>
    <row r="50" spans="1:31" ht="27.75" customHeight="1">
      <c r="A50" s="273">
        <v>5</v>
      </c>
      <c r="B50" s="721" t="s">
        <v>586</v>
      </c>
      <c r="C50" s="721"/>
      <c r="D50" s="721"/>
      <c r="E50" s="721"/>
      <c r="F50" s="721"/>
      <c r="G50" s="721"/>
      <c r="H50" s="721"/>
      <c r="I50" s="721"/>
      <c r="J50" s="458"/>
      <c r="K50" s="340"/>
      <c r="L50" s="63"/>
      <c r="M50" s="724"/>
      <c r="N50" s="724"/>
      <c r="O50" s="724"/>
      <c r="P50" s="724"/>
      <c r="Q50" s="724"/>
      <c r="R50" s="63"/>
      <c r="S50" s="63"/>
      <c r="T50" s="63"/>
      <c r="U50" s="63"/>
      <c r="V50" s="63"/>
      <c r="W50" s="63"/>
      <c r="X50" s="63"/>
      <c r="Y50" s="63"/>
      <c r="Z50" s="63"/>
      <c r="AA50" s="63"/>
      <c r="AB50" s="63"/>
      <c r="AC50" s="63"/>
      <c r="AD50" s="63"/>
      <c r="AE50" s="63"/>
    </row>
    <row r="51" spans="1:31" ht="19.5" customHeight="1">
      <c r="A51" s="271"/>
      <c r="B51" s="325" t="s">
        <v>587</v>
      </c>
      <c r="C51" s="325"/>
      <c r="D51" s="325"/>
      <c r="E51" s="325"/>
      <c r="F51" s="325"/>
      <c r="G51" s="325"/>
      <c r="H51" s="325"/>
      <c r="I51" s="325"/>
      <c r="J51" s="325"/>
      <c r="K51" s="325"/>
      <c r="L51" s="63"/>
      <c r="M51" s="724"/>
      <c r="N51" s="724"/>
      <c r="O51" s="724"/>
      <c r="P51" s="724"/>
      <c r="Q51" s="724"/>
      <c r="R51" s="63"/>
      <c r="S51" s="63"/>
      <c r="T51" s="63"/>
      <c r="U51" s="63"/>
      <c r="V51" s="63"/>
      <c r="W51" s="63"/>
      <c r="X51" s="63"/>
      <c r="Y51" s="63"/>
      <c r="Z51" s="63"/>
      <c r="AA51" s="63"/>
      <c r="AB51" s="63"/>
      <c r="AC51" s="63"/>
      <c r="AD51" s="63"/>
      <c r="AE51" s="63"/>
    </row>
    <row r="52" spans="1:31" ht="19.5" customHeight="1">
      <c r="A52" s="271"/>
      <c r="B52" s="271" t="s">
        <v>576</v>
      </c>
      <c r="C52" s="344"/>
      <c r="D52" s="324" t="s">
        <v>588</v>
      </c>
      <c r="E52" s="344"/>
      <c r="F52" s="271" t="s">
        <v>589</v>
      </c>
      <c r="G52" s="81">
        <f>F74</f>
        <v>-0.98064352657801512</v>
      </c>
      <c r="H52" s="274"/>
      <c r="I52" s="324" t="s">
        <v>577</v>
      </c>
      <c r="J52" s="345">
        <f>$C52*$E52*G52*0.05*365</f>
        <v>0</v>
      </c>
      <c r="K52" s="273" t="s">
        <v>530</v>
      </c>
      <c r="L52" s="63"/>
      <c r="M52" s="724"/>
      <c r="N52" s="724"/>
      <c r="O52" s="724"/>
      <c r="P52" s="724"/>
      <c r="Q52" s="724"/>
      <c r="R52" s="63"/>
      <c r="S52" s="63"/>
      <c r="T52" s="63"/>
      <c r="U52" s="63"/>
      <c r="V52" s="63"/>
      <c r="W52" s="63"/>
      <c r="X52" s="63"/>
      <c r="Y52" s="63"/>
      <c r="Z52" s="63"/>
      <c r="AA52" s="63"/>
      <c r="AB52" s="63"/>
      <c r="AC52" s="63"/>
      <c r="AD52" s="63"/>
      <c r="AE52" s="63"/>
    </row>
    <row r="53" spans="1:31" ht="5.25" customHeight="1" thickBot="1">
      <c r="A53" s="338"/>
      <c r="B53" s="339"/>
      <c r="C53" s="339"/>
      <c r="D53" s="339"/>
      <c r="E53" s="339"/>
      <c r="F53" s="339"/>
      <c r="G53" s="339"/>
      <c r="H53" s="339"/>
      <c r="I53" s="339"/>
      <c r="J53" s="339"/>
      <c r="K53" s="339"/>
      <c r="L53" s="63"/>
      <c r="M53" s="724"/>
      <c r="N53" s="724"/>
      <c r="O53" s="724"/>
      <c r="P53" s="724"/>
      <c r="Q53" s="724"/>
      <c r="R53" s="63"/>
      <c r="S53" s="63"/>
      <c r="T53" s="63"/>
      <c r="U53" s="63"/>
      <c r="V53" s="63"/>
      <c r="W53" s="63"/>
      <c r="X53" s="63"/>
      <c r="Y53" s="63"/>
      <c r="Z53" s="63"/>
      <c r="AA53" s="63"/>
      <c r="AB53" s="79">
        <f>$C52*$E52*F72*0.05*365</f>
        <v>0</v>
      </c>
      <c r="AC53" s="63"/>
      <c r="AD53" s="79">
        <f>$C52*$E52*F74*0.05*365</f>
        <v>0</v>
      </c>
      <c r="AE53" s="203">
        <f>J52/G52*(39+780*I$30)</f>
        <v>0</v>
      </c>
    </row>
    <row r="54" spans="1:31" ht="29.25" customHeight="1" thickTop="1">
      <c r="A54" s="273">
        <v>6</v>
      </c>
      <c r="B54" s="725" t="s">
        <v>590</v>
      </c>
      <c r="C54" s="725"/>
      <c r="D54" s="725"/>
      <c r="E54" s="725"/>
      <c r="F54" s="725"/>
      <c r="G54" s="725"/>
      <c r="H54" s="725"/>
      <c r="I54" s="725"/>
      <c r="J54" s="458"/>
      <c r="K54" s="340"/>
      <c r="L54" s="63"/>
      <c r="M54" s="724"/>
      <c r="N54" s="724"/>
      <c r="O54" s="724"/>
      <c r="P54" s="724"/>
      <c r="Q54" s="724"/>
      <c r="R54" s="63"/>
      <c r="S54" s="63"/>
      <c r="T54" s="63"/>
      <c r="U54" s="63"/>
      <c r="V54" s="63"/>
      <c r="W54" s="63"/>
      <c r="X54" s="63"/>
      <c r="Y54" s="63"/>
      <c r="Z54" s="63"/>
      <c r="AA54" s="63"/>
      <c r="AB54" s="63"/>
      <c r="AC54" s="63"/>
      <c r="AD54" s="63"/>
      <c r="AE54" s="63"/>
    </row>
    <row r="55" spans="1:31" ht="19.5" customHeight="1">
      <c r="A55" s="271"/>
      <c r="B55" s="325" t="s">
        <v>591</v>
      </c>
      <c r="C55" s="325"/>
      <c r="D55" s="325"/>
      <c r="E55" s="325"/>
      <c r="F55" s="325"/>
      <c r="G55" s="325"/>
      <c r="H55" s="325"/>
      <c r="I55" s="325"/>
      <c r="J55" s="325"/>
      <c r="K55" s="325"/>
      <c r="L55" s="63"/>
      <c r="M55" s="724"/>
      <c r="N55" s="724"/>
      <c r="O55" s="724"/>
      <c r="P55" s="724"/>
      <c r="Q55" s="724"/>
      <c r="R55" s="63"/>
      <c r="S55" s="63"/>
      <c r="T55" s="63"/>
      <c r="U55" s="63"/>
      <c r="V55" s="63"/>
      <c r="W55" s="63"/>
      <c r="X55" s="63"/>
      <c r="Y55" s="63"/>
      <c r="Z55" s="63"/>
      <c r="AA55" s="63"/>
      <c r="AB55" s="63"/>
      <c r="AC55" s="63"/>
      <c r="AD55" s="63"/>
      <c r="AE55" s="63"/>
    </row>
    <row r="56" spans="1:31" ht="19.5" customHeight="1">
      <c r="A56" s="271"/>
      <c r="B56" s="271"/>
      <c r="C56" s="324"/>
      <c r="D56" s="324" t="s">
        <v>592</v>
      </c>
      <c r="E56" s="344"/>
      <c r="F56" s="271" t="s">
        <v>593</v>
      </c>
      <c r="G56" s="81">
        <f>F74</f>
        <v>-0.98064352657801512</v>
      </c>
      <c r="H56" s="274"/>
      <c r="I56" s="324" t="s">
        <v>577</v>
      </c>
      <c r="J56" s="345">
        <f>$E56*365*0.15*G56</f>
        <v>0</v>
      </c>
      <c r="K56" s="273" t="s">
        <v>594</v>
      </c>
      <c r="L56" s="63"/>
      <c r="M56" s="724"/>
      <c r="N56" s="724"/>
      <c r="O56" s="724"/>
      <c r="P56" s="724"/>
      <c r="Q56" s="724"/>
      <c r="R56" s="63"/>
      <c r="S56" s="63"/>
      <c r="T56" s="63"/>
      <c r="U56" s="63"/>
      <c r="V56" s="63"/>
      <c r="W56" s="63"/>
      <c r="X56" s="63"/>
      <c r="Y56" s="63"/>
      <c r="Z56" s="63"/>
      <c r="AA56" s="63"/>
      <c r="AB56" s="63"/>
      <c r="AC56" s="63"/>
      <c r="AD56" s="63"/>
      <c r="AE56" s="63"/>
    </row>
    <row r="57" spans="1:31" ht="4.5" customHeight="1" thickBot="1">
      <c r="A57" s="383"/>
      <c r="B57" s="384"/>
      <c r="C57" s="384"/>
      <c r="D57" s="384"/>
      <c r="E57" s="384"/>
      <c r="F57" s="384"/>
      <c r="G57" s="384"/>
      <c r="H57" s="384"/>
      <c r="I57" s="384"/>
      <c r="J57" s="384"/>
      <c r="K57" s="385"/>
      <c r="L57" s="63"/>
      <c r="M57" s="63"/>
      <c r="N57" s="63"/>
      <c r="O57" s="63"/>
      <c r="P57" s="63"/>
      <c r="Q57" s="63"/>
      <c r="R57" s="63"/>
      <c r="S57" s="63"/>
      <c r="T57" s="63"/>
      <c r="U57" s="63"/>
      <c r="V57" s="63"/>
      <c r="W57" s="63"/>
      <c r="X57" s="63"/>
      <c r="Y57" s="63"/>
      <c r="Z57" s="63"/>
      <c r="AA57" s="63"/>
      <c r="AB57" s="79">
        <f>$E56*365*0.15*F72</f>
        <v>0</v>
      </c>
      <c r="AC57" s="63"/>
      <c r="AD57" s="79">
        <f>$E56*365*0.15*F74</f>
        <v>0</v>
      </c>
      <c r="AE57" s="203">
        <f>J56/G56*(39+780*I$30)</f>
        <v>0</v>
      </c>
    </row>
    <row r="58" spans="1:31" ht="15" customHeight="1" thickTop="1">
      <c r="A58" s="273">
        <v>7</v>
      </c>
      <c r="B58" s="325" t="s">
        <v>595</v>
      </c>
      <c r="C58" s="325"/>
      <c r="D58" s="325"/>
      <c r="E58" s="325"/>
      <c r="F58" s="325"/>
      <c r="G58" s="325"/>
      <c r="H58" s="325"/>
      <c r="I58" s="325"/>
      <c r="J58" s="325"/>
      <c r="K58" s="324"/>
      <c r="L58" s="63"/>
      <c r="M58" s="63"/>
      <c r="N58" s="63"/>
      <c r="O58" s="63"/>
      <c r="P58" s="63"/>
      <c r="Q58" s="63"/>
      <c r="R58" s="63"/>
      <c r="S58" s="63"/>
      <c r="T58" s="63"/>
      <c r="U58" s="63"/>
      <c r="V58" s="63"/>
      <c r="W58" s="63"/>
      <c r="X58" s="63"/>
      <c r="Y58" s="63"/>
      <c r="Z58" s="63"/>
      <c r="AA58" s="63"/>
      <c r="AB58" s="79"/>
      <c r="AC58" s="63"/>
      <c r="AD58" s="79"/>
      <c r="AE58" s="203"/>
    </row>
    <row r="59" spans="1:31" ht="15" customHeight="1">
      <c r="A59" s="271"/>
      <c r="B59" s="325"/>
      <c r="C59" s="325"/>
      <c r="D59" s="325"/>
      <c r="E59" s="325"/>
      <c r="F59" s="325"/>
      <c r="G59" s="325"/>
      <c r="H59" s="325"/>
      <c r="I59" s="325"/>
      <c r="J59" s="325"/>
      <c r="K59" s="324"/>
      <c r="L59" s="63"/>
      <c r="M59" s="63"/>
      <c r="N59" s="63"/>
      <c r="O59" s="63"/>
      <c r="P59" s="63"/>
      <c r="Q59" s="63"/>
      <c r="R59" s="63"/>
      <c r="S59" s="63"/>
      <c r="T59" s="63"/>
      <c r="U59" s="63"/>
      <c r="V59" s="63"/>
      <c r="W59" s="63"/>
      <c r="X59" s="63"/>
      <c r="Y59" s="63"/>
      <c r="Z59" s="63"/>
      <c r="AA59" s="63"/>
      <c r="AB59" s="79"/>
      <c r="AC59" s="63"/>
      <c r="AD59" s="79"/>
      <c r="AE59" s="203"/>
    </row>
    <row r="60" spans="1:31" ht="15" customHeight="1">
      <c r="A60" s="271"/>
      <c r="B60" s="437" t="s">
        <v>909</v>
      </c>
      <c r="C60" s="325"/>
      <c r="D60" s="325"/>
      <c r="E60" s="325"/>
      <c r="F60" s="325"/>
      <c r="G60" s="325"/>
      <c r="H60" s="325"/>
      <c r="I60" s="325"/>
      <c r="J60" s="325"/>
      <c r="K60" s="324"/>
      <c r="L60" s="63"/>
      <c r="M60" s="63"/>
      <c r="N60" s="63"/>
      <c r="O60" s="63"/>
      <c r="P60" s="63"/>
      <c r="Q60" s="63"/>
      <c r="R60" s="63"/>
      <c r="S60" s="63"/>
      <c r="T60" s="63"/>
      <c r="U60" s="63"/>
      <c r="V60" s="63"/>
      <c r="W60" s="63"/>
      <c r="X60" s="63"/>
      <c r="Y60" s="63"/>
      <c r="Z60" s="63"/>
      <c r="AA60" s="63"/>
      <c r="AB60" s="79"/>
      <c r="AC60" s="63"/>
      <c r="AD60" s="79"/>
      <c r="AE60" s="203"/>
    </row>
    <row r="61" spans="1:31" ht="15" customHeight="1">
      <c r="A61" s="271"/>
      <c r="B61" s="325"/>
      <c r="C61" s="325"/>
      <c r="D61" s="325"/>
      <c r="E61" s="325"/>
      <c r="F61" s="325"/>
      <c r="G61" s="325"/>
      <c r="H61" s="325"/>
      <c r="I61" s="325"/>
      <c r="J61" s="325"/>
      <c r="K61" s="324"/>
      <c r="L61" s="63"/>
      <c r="M61" s="63"/>
      <c r="N61" s="63"/>
      <c r="O61" s="63"/>
      <c r="P61" s="63"/>
      <c r="Q61" s="63"/>
      <c r="R61" s="63"/>
      <c r="S61" s="63"/>
      <c r="T61" s="63"/>
      <c r="U61" s="63"/>
      <c r="V61" s="63"/>
      <c r="W61" s="63"/>
      <c r="X61" s="63"/>
      <c r="Y61" s="63"/>
      <c r="Z61" s="63"/>
      <c r="AA61" s="63"/>
      <c r="AB61" s="79"/>
      <c r="AC61" s="63"/>
      <c r="AD61" s="79"/>
      <c r="AE61" s="203"/>
    </row>
    <row r="62" spans="1:31" ht="15" customHeight="1">
      <c r="A62" s="271"/>
      <c r="B62" s="325"/>
      <c r="C62" s="325"/>
      <c r="D62" s="325" t="s">
        <v>596</v>
      </c>
      <c r="E62" s="380">
        <f>'SP11-1'!I46</f>
        <v>0</v>
      </c>
      <c r="F62" s="325" t="s">
        <v>957</v>
      </c>
      <c r="G62" s="381">
        <f>F74</f>
        <v>-0.98064352657801512</v>
      </c>
      <c r="H62" s="325"/>
      <c r="I62" s="324" t="s">
        <v>577</v>
      </c>
      <c r="J62" s="382">
        <f>E62*G62*0.000161*'Tables NEW TABLES'!G1</f>
        <v>0</v>
      </c>
      <c r="K62" s="324"/>
      <c r="L62" s="359" t="s">
        <v>597</v>
      </c>
      <c r="M62" s="63"/>
      <c r="N62" s="63"/>
      <c r="O62" s="63"/>
      <c r="P62" s="63"/>
      <c r="Q62" s="63"/>
      <c r="R62" s="63"/>
      <c r="S62" s="63"/>
      <c r="T62" s="63"/>
      <c r="U62" s="63"/>
      <c r="V62" s="63"/>
      <c r="W62" s="63"/>
      <c r="X62" s="63"/>
      <c r="Y62" s="63"/>
      <c r="Z62" s="63"/>
      <c r="AA62" s="63"/>
      <c r="AB62" s="79"/>
      <c r="AC62" s="63"/>
      <c r="AD62" s="79"/>
      <c r="AE62" s="203"/>
    </row>
    <row r="63" spans="1:31" ht="7.5" customHeight="1">
      <c r="A63" s="271"/>
      <c r="B63" s="325"/>
      <c r="C63" s="325"/>
      <c r="D63" s="325"/>
      <c r="E63" s="325"/>
      <c r="F63" s="325"/>
      <c r="G63" s="325"/>
      <c r="H63" s="325"/>
      <c r="I63" s="325"/>
      <c r="J63" s="325"/>
      <c r="K63" s="324"/>
      <c r="L63" s="63"/>
      <c r="M63" s="63"/>
      <c r="N63" s="63"/>
      <c r="O63" s="63"/>
      <c r="P63" s="63"/>
      <c r="Q63" s="63"/>
      <c r="R63" s="63"/>
      <c r="S63" s="63"/>
      <c r="T63" s="63"/>
      <c r="U63" s="63"/>
      <c r="V63" s="63"/>
      <c r="W63" s="63"/>
      <c r="X63" s="63"/>
      <c r="Y63" s="63"/>
      <c r="Z63" s="63"/>
      <c r="AA63" s="63"/>
      <c r="AB63" s="79"/>
      <c r="AC63" s="63"/>
      <c r="AD63" s="79"/>
      <c r="AE63" s="203"/>
    </row>
    <row r="64" spans="1:31">
      <c r="A64" s="64"/>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row>
    <row r="65" spans="1:27" ht="12.75" customHeight="1">
      <c r="A65" s="64"/>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row>
    <row r="66" spans="1:27" ht="12.75" customHeight="1">
      <c r="A66" s="64"/>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row>
    <row r="67" spans="1:27" ht="25.5" hidden="1" customHeight="1">
      <c r="A67" s="64"/>
      <c r="B67" s="317" t="s">
        <v>598</v>
      </c>
      <c r="C67" s="312">
        <f>'SP11-1'!I29</f>
        <v>0.04</v>
      </c>
      <c r="D67" s="65"/>
      <c r="E67" s="74"/>
      <c r="F67" s="74"/>
      <c r="G67" s="65"/>
      <c r="H67" s="74"/>
      <c r="I67" s="74"/>
      <c r="J67" s="74"/>
      <c r="K67" s="65"/>
      <c r="L67" s="63"/>
      <c r="M67" s="63"/>
      <c r="N67" s="63"/>
      <c r="O67" s="63"/>
      <c r="P67" s="63"/>
      <c r="Q67" s="63"/>
      <c r="R67" s="63"/>
      <c r="S67" s="63"/>
      <c r="T67" s="63"/>
      <c r="U67" s="63"/>
      <c r="V67" s="63"/>
      <c r="W67" s="63"/>
      <c r="X67" s="63"/>
      <c r="Y67" s="63"/>
      <c r="Z67" s="63"/>
      <c r="AA67" s="63"/>
    </row>
    <row r="68" spans="1:27" ht="25.5" hidden="1" customHeight="1">
      <c r="A68" s="64"/>
      <c r="B68" s="317" t="s">
        <v>599</v>
      </c>
      <c r="C68" s="311">
        <v>1</v>
      </c>
      <c r="D68" s="65"/>
      <c r="E68" s="74"/>
      <c r="F68" s="74"/>
      <c r="G68" s="65"/>
      <c r="H68" s="74"/>
      <c r="I68" s="74"/>
      <c r="J68" s="74"/>
      <c r="K68" s="65"/>
      <c r="L68" s="63"/>
      <c r="M68" s="63"/>
      <c r="N68" s="63"/>
      <c r="O68" s="63"/>
      <c r="P68" s="63"/>
      <c r="Q68" s="63"/>
      <c r="R68" s="63"/>
      <c r="S68" s="63"/>
      <c r="T68" s="63"/>
      <c r="U68" s="63"/>
      <c r="V68" s="63"/>
      <c r="W68" s="63"/>
      <c r="X68" s="63"/>
      <c r="Y68" s="63"/>
      <c r="Z68" s="63"/>
      <c r="AA68" s="63"/>
    </row>
    <row r="69" spans="1:27" ht="25.5" hidden="1" customHeight="1">
      <c r="A69" s="64"/>
      <c r="B69" s="317" t="str">
        <f>'SP11-1'!B23</f>
        <v>Summarise the options assessed</v>
      </c>
      <c r="C69" s="311">
        <f>'SP11-1'!I28</f>
        <v>0</v>
      </c>
      <c r="D69" s="65"/>
      <c r="E69" s="65"/>
      <c r="F69" s="65"/>
      <c r="G69" s="65"/>
      <c r="H69" s="74"/>
      <c r="I69" s="63"/>
      <c r="J69" s="63"/>
      <c r="K69" s="63"/>
      <c r="L69" s="63"/>
      <c r="M69" s="63"/>
      <c r="N69" s="63"/>
      <c r="O69" s="63"/>
      <c r="P69" s="63"/>
      <c r="Q69" s="63"/>
      <c r="R69" s="63"/>
      <c r="S69" s="63"/>
      <c r="T69" s="63"/>
      <c r="U69" s="63"/>
      <c r="V69" s="63"/>
      <c r="W69" s="63"/>
      <c r="X69" s="63"/>
    </row>
    <row r="70" spans="1:27" ht="25.5" hidden="1" customHeight="1">
      <c r="A70" s="64"/>
      <c r="B70" s="317" t="s">
        <v>600</v>
      </c>
      <c r="C70" s="313">
        <f>I30</f>
        <v>0</v>
      </c>
      <c r="D70" s="65"/>
      <c r="E70" s="65"/>
      <c r="F70" s="65"/>
      <c r="G70" s="65"/>
      <c r="H70" s="74"/>
      <c r="I70" s="63"/>
      <c r="J70" s="63"/>
      <c r="K70" s="63"/>
      <c r="L70" s="63"/>
      <c r="M70" s="63"/>
      <c r="N70" s="63"/>
      <c r="O70" s="63"/>
      <c r="P70" s="63"/>
      <c r="Q70" s="63"/>
      <c r="R70" s="63"/>
      <c r="S70" s="63"/>
      <c r="T70" s="63"/>
      <c r="U70" s="63"/>
      <c r="V70" s="63"/>
      <c r="W70" s="63"/>
      <c r="X70" s="63"/>
    </row>
    <row r="71" spans="1:27" ht="25.5" hidden="1" customHeight="1">
      <c r="A71" s="64"/>
      <c r="B71" s="317" t="s">
        <v>600</v>
      </c>
      <c r="C71" s="313">
        <f>_sp115</f>
        <v>0</v>
      </c>
      <c r="D71" s="65"/>
      <c r="E71" s="65"/>
      <c r="F71" s="65"/>
      <c r="G71" s="65"/>
      <c r="H71" s="74"/>
      <c r="I71" s="63"/>
      <c r="J71" s="63"/>
      <c r="K71" s="63"/>
      <c r="L71" s="63"/>
      <c r="M71" s="63"/>
      <c r="N71" s="63"/>
      <c r="O71" s="63"/>
      <c r="P71" s="63"/>
      <c r="Q71" s="63"/>
      <c r="R71" s="63"/>
      <c r="S71" s="63"/>
      <c r="T71" s="63"/>
      <c r="U71" s="63"/>
      <c r="V71" s="63"/>
      <c r="W71" s="63"/>
      <c r="X71" s="63"/>
    </row>
    <row r="72" spans="1:27" ht="18.75" hidden="1" customHeight="1">
      <c r="A72" s="64"/>
      <c r="B72" s="65"/>
      <c r="C72" s="65"/>
      <c r="D72" s="65"/>
      <c r="E72" s="65"/>
      <c r="F72" s="65"/>
      <c r="G72" s="65"/>
      <c r="H72" s="65"/>
      <c r="I72" s="63"/>
      <c r="J72" s="63"/>
      <c r="K72" s="63"/>
      <c r="L72" s="63"/>
      <c r="M72" s="63"/>
      <c r="N72" s="63"/>
      <c r="O72" s="63"/>
      <c r="P72" s="63"/>
      <c r="Q72" s="63"/>
      <c r="R72" s="63"/>
      <c r="S72" s="63"/>
      <c r="T72" s="63"/>
      <c r="U72" s="63"/>
      <c r="V72" s="63"/>
    </row>
    <row r="73" spans="1:27" ht="13.2" hidden="1">
      <c r="A73" s="64"/>
      <c r="B73" s="314" t="s">
        <v>142</v>
      </c>
      <c r="C73" s="314" t="s">
        <v>143</v>
      </c>
      <c r="D73" s="314" t="s">
        <v>145</v>
      </c>
      <c r="E73" s="334" t="s">
        <v>144</v>
      </c>
      <c r="F73" s="334" t="s">
        <v>601</v>
      </c>
      <c r="G73" s="334" t="s">
        <v>602</v>
      </c>
      <c r="H73" s="65"/>
      <c r="K73" s="63"/>
      <c r="L73" s="63"/>
      <c r="M73" s="63"/>
      <c r="N73" s="63"/>
      <c r="O73" s="63"/>
      <c r="P73" s="63"/>
      <c r="Q73" s="63"/>
      <c r="R73" s="63"/>
      <c r="S73" s="63"/>
      <c r="T73" s="63"/>
      <c r="U73" s="63"/>
      <c r="V73" s="63"/>
      <c r="W73" s="63"/>
      <c r="X73" s="63"/>
      <c r="Y73" s="63"/>
    </row>
    <row r="74" spans="1:27" hidden="1">
      <c r="A74" s="64"/>
      <c r="B74" s="315">
        <f>'Tables NEW TABLES'!K$279</f>
        <v>0.98064352657801512</v>
      </c>
      <c r="C74" s="316">
        <f>(1-(1+C67)^(-C69)) / (LN(1+C67))</f>
        <v>0</v>
      </c>
      <c r="D74" s="316">
        <f>((LN(1+C67))^-2)-(C68*(1+C67)^(C68*(-1))*(LN((1+C67))^-1))-((1+C67)^(C68*(-1))*(LN(1+C67))^-2)</f>
        <v>0.48711671725311589</v>
      </c>
      <c r="E74" s="335">
        <f>((LN(1+C67))^-2)-(C69*(1+C67)^(C69*(-1))*(LN((1+C67))^-1))-((1+C67)^(C69*(-1))*(LN(1+C67))^-2)</f>
        <v>0</v>
      </c>
      <c r="F74" s="335">
        <f>C74-B74+C70*(E74-D74)</f>
        <v>-0.98064352657801512</v>
      </c>
      <c r="G74" s="335">
        <f>C74-B74+C71*(E74-D74)</f>
        <v>-0.98064352657801512</v>
      </c>
      <c r="H74" s="65"/>
      <c r="I74" s="63"/>
      <c r="J74" s="63"/>
      <c r="K74" s="63"/>
      <c r="L74" s="63"/>
      <c r="M74" s="63"/>
      <c r="N74" s="63"/>
      <c r="O74" s="63"/>
      <c r="P74" s="63"/>
      <c r="Q74" s="63"/>
      <c r="R74" s="63"/>
      <c r="S74" s="63"/>
      <c r="T74" s="63"/>
      <c r="U74" s="63"/>
      <c r="V74" s="63"/>
      <c r="W74" s="63"/>
      <c r="X74" s="63"/>
      <c r="Y74" s="63"/>
    </row>
    <row r="75" spans="1:27" hidden="1">
      <c r="A75" s="64"/>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row>
    <row r="76" spans="1:27">
      <c r="A76" s="64"/>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row>
    <row r="77" spans="1:27">
      <c r="A77" s="64"/>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row>
    <row r="78" spans="1:27">
      <c r="A78" s="64"/>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row>
    <row r="79" spans="1:27">
      <c r="A79" s="64"/>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row>
    <row r="80" spans="1:27">
      <c r="A80" s="64"/>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row>
    <row r="81" spans="1:27">
      <c r="A81" s="64"/>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row>
    <row r="82" spans="1:27">
      <c r="A82" s="64"/>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row>
    <row r="83" spans="1:27">
      <c r="A83" s="64"/>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row>
    <row r="84" spans="1:27">
      <c r="A84" s="64"/>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row>
    <row r="85" spans="1:27">
      <c r="A85" s="64"/>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row>
    <row r="86" spans="1:27" ht="12" customHeight="1">
      <c r="A86" s="64"/>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row>
    <row r="87" spans="1:27">
      <c r="A87" s="64"/>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row>
    <row r="88" spans="1:27">
      <c r="A88" s="64"/>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row>
    <row r="89" spans="1:27">
      <c r="A89" s="64"/>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row>
    <row r="90" spans="1:27">
      <c r="A90" s="64"/>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row>
    <row r="91" spans="1:27">
      <c r="A91" s="64"/>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row>
    <row r="92" spans="1:27">
      <c r="A92" s="64"/>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row>
    <row r="93" spans="1:27">
      <c r="A93" s="64"/>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row>
    <row r="94" spans="1:27">
      <c r="A94" s="64"/>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row>
    <row r="95" spans="1:27">
      <c r="A95" s="64"/>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row>
    <row r="96" spans="1:27">
      <c r="A96" s="64"/>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row>
    <row r="97" spans="1:27">
      <c r="A97" s="64"/>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row>
    <row r="98" spans="1:27">
      <c r="A98" s="64"/>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row>
    <row r="99" spans="1:27">
      <c r="A99" s="64"/>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row>
    <row r="100" spans="1:27">
      <c r="A100" s="64"/>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row>
    <row r="101" spans="1:27">
      <c r="A101" s="64"/>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row>
  </sheetData>
  <sheetProtection algorithmName="SHA-512" hashValue="VuhsXHjXw1EJCRDnblt4rukMNpQ1/LZEOfECwLzEVuyrpPvzbevvuey4lNzZwWxGbDZVldFjZLMHhaNboh41RQ==" saltValue="m4ClEelF6hS8tdSRrpVURA==" spinCount="100000" sheet="1"/>
  <protectedRanges>
    <protectedRange sqref="E57:F63" name="Range15"/>
    <protectedRange sqref="F50:K50 C10:D11 K46:K47 C50:D50 K56:K63 F10:K11 K26:K27 K52 K12:K13 J14 K33:K42 J35 C31:D32 F31:K32" name="Range1"/>
  </protectedRanges>
  <mergeCells count="15">
    <mergeCell ref="B49:F49"/>
    <mergeCell ref="M49:Q56"/>
    <mergeCell ref="B50:I50"/>
    <mergeCell ref="B54:I54"/>
    <mergeCell ref="B4:K5"/>
    <mergeCell ref="B8:F8"/>
    <mergeCell ref="M9:Q9"/>
    <mergeCell ref="B10:H10"/>
    <mergeCell ref="M12:Q46"/>
    <mergeCell ref="B24:K24"/>
    <mergeCell ref="B29:F29"/>
    <mergeCell ref="B31:I31"/>
    <mergeCell ref="B44:I44"/>
    <mergeCell ref="B11:K11"/>
    <mergeCell ref="B32:K32"/>
  </mergeCells>
  <printOptions horizontalCentered="1"/>
  <pageMargins left="0.74803149606299213" right="0.74803149606299213" top="0.98425196850393704" bottom="0.98425196850393704" header="0.51181102362204722" footer="0.51181102362204722"/>
  <pageSetup paperSize="9" scale="94" orientation="portrait" r:id="rId1"/>
  <headerFooter scaleWithDoc="0" alignWithMargins="0">
    <oddHeader>&amp;L&amp;"-,Regular"&amp;8&amp;F&amp;R&amp;"-,Regular"&amp;8&amp;A
__________________________________________________________________________</oddHeader>
    <oddFooter>&amp;L&amp;"-,Regular"&amp;8_________________________________________________________________________________
NZ Transport Agency’s Economic evaluation manual
Effective from Jul 2013</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89DF-8A62-4FDD-B1B0-12138C4A73C2}">
  <sheetPr>
    <pageSetUpPr fitToPage="1"/>
  </sheetPr>
  <dimension ref="A1:AA84"/>
  <sheetViews>
    <sheetView zoomScaleNormal="100" workbookViewId="0">
      <selection activeCell="P17" sqref="P17:Q17"/>
    </sheetView>
  </sheetViews>
  <sheetFormatPr defaultRowHeight="12.6"/>
  <cols>
    <col min="1" max="1" width="3.19921875" style="80" customWidth="1"/>
    <col min="2" max="2" width="9.19921875" style="74" customWidth="1"/>
    <col min="3" max="5" width="8.796875" style="74" customWidth="1"/>
    <col min="6" max="7" width="7.69921875" style="74" customWidth="1"/>
    <col min="8" max="8" width="4.19921875" style="74" customWidth="1"/>
    <col min="9" max="9" width="5.69921875" style="74" customWidth="1"/>
    <col min="10" max="10" width="8.296875" style="65" customWidth="1"/>
    <col min="11" max="11" width="5.69921875" style="65" customWidth="1"/>
    <col min="12" max="14" width="4.5" style="65" customWidth="1"/>
    <col min="15" max="15" width="8.19921875" style="65" customWidth="1"/>
    <col min="16" max="17" width="4.5" style="65" customWidth="1"/>
    <col min="18" max="18" width="2.19921875" style="74" customWidth="1"/>
    <col min="19" max="19" width="13.69921875" style="74" customWidth="1"/>
    <col min="20" max="20" width="26.69921875" style="74" customWidth="1"/>
    <col min="21" max="21" width="15.296875" style="74" bestFit="1" customWidth="1"/>
    <col min="22" max="25" width="13.69921875" style="74" customWidth="1"/>
    <col min="26" max="256" width="9" style="74"/>
    <col min="257" max="257" width="3.19921875" style="74" customWidth="1"/>
    <col min="258" max="259" width="8.19921875" style="74" customWidth="1"/>
    <col min="260" max="260" width="5.69921875" style="74" customWidth="1"/>
    <col min="261" max="263" width="3.796875" style="74" customWidth="1"/>
    <col min="264" max="264" width="4.19921875" style="74" customWidth="1"/>
    <col min="265" max="265" width="5.69921875" style="74" customWidth="1"/>
    <col min="266" max="266" width="4.796875" style="74" customWidth="1"/>
    <col min="267" max="267" width="5.69921875" style="74" customWidth="1"/>
    <col min="268" max="273" width="4.5" style="74" customWidth="1"/>
    <col min="274" max="274" width="2.19921875" style="74" customWidth="1"/>
    <col min="275" max="275" width="13.69921875" style="74" customWidth="1"/>
    <col min="276" max="276" width="26.69921875" style="74" customWidth="1"/>
    <col min="277" max="277" width="15.296875" style="74" bestFit="1" customWidth="1"/>
    <col min="278" max="281" width="13.69921875" style="74" customWidth="1"/>
    <col min="282" max="512" width="9" style="74"/>
    <col min="513" max="513" width="3.19921875" style="74" customWidth="1"/>
    <col min="514" max="515" width="8.19921875" style="74" customWidth="1"/>
    <col min="516" max="516" width="5.69921875" style="74" customWidth="1"/>
    <col min="517" max="519" width="3.796875" style="74" customWidth="1"/>
    <col min="520" max="520" width="4.19921875" style="74" customWidth="1"/>
    <col min="521" max="521" width="5.69921875" style="74" customWidth="1"/>
    <col min="522" max="522" width="4.796875" style="74" customWidth="1"/>
    <col min="523" max="523" width="5.69921875" style="74" customWidth="1"/>
    <col min="524" max="529" width="4.5" style="74" customWidth="1"/>
    <col min="530" max="530" width="2.19921875" style="74" customWidth="1"/>
    <col min="531" max="531" width="13.69921875" style="74" customWidth="1"/>
    <col min="532" max="532" width="26.69921875" style="74" customWidth="1"/>
    <col min="533" max="533" width="15.296875" style="74" bestFit="1" customWidth="1"/>
    <col min="534" max="537" width="13.69921875" style="74" customWidth="1"/>
    <col min="538" max="768" width="9" style="74"/>
    <col min="769" max="769" width="3.19921875" style="74" customWidth="1"/>
    <col min="770" max="771" width="8.19921875" style="74" customWidth="1"/>
    <col min="772" max="772" width="5.69921875" style="74" customWidth="1"/>
    <col min="773" max="775" width="3.796875" style="74" customWidth="1"/>
    <col min="776" max="776" width="4.19921875" style="74" customWidth="1"/>
    <col min="777" max="777" width="5.69921875" style="74" customWidth="1"/>
    <col min="778" max="778" width="4.796875" style="74" customWidth="1"/>
    <col min="779" max="779" width="5.69921875" style="74" customWidth="1"/>
    <col min="780" max="785" width="4.5" style="74" customWidth="1"/>
    <col min="786" max="786" width="2.19921875" style="74" customWidth="1"/>
    <col min="787" max="787" width="13.69921875" style="74" customWidth="1"/>
    <col min="788" max="788" width="26.69921875" style="74" customWidth="1"/>
    <col min="789" max="789" width="15.296875" style="74" bestFit="1" customWidth="1"/>
    <col min="790" max="793" width="13.69921875" style="74" customWidth="1"/>
    <col min="794" max="1024" width="9" style="74"/>
    <col min="1025" max="1025" width="3.19921875" style="74" customWidth="1"/>
    <col min="1026" max="1027" width="8.19921875" style="74" customWidth="1"/>
    <col min="1028" max="1028" width="5.69921875" style="74" customWidth="1"/>
    <col min="1029" max="1031" width="3.796875" style="74" customWidth="1"/>
    <col min="1032" max="1032" width="4.19921875" style="74" customWidth="1"/>
    <col min="1033" max="1033" width="5.69921875" style="74" customWidth="1"/>
    <col min="1034" max="1034" width="4.796875" style="74" customWidth="1"/>
    <col min="1035" max="1035" width="5.69921875" style="74" customWidth="1"/>
    <col min="1036" max="1041" width="4.5" style="74" customWidth="1"/>
    <col min="1042" max="1042" width="2.19921875" style="74" customWidth="1"/>
    <col min="1043" max="1043" width="13.69921875" style="74" customWidth="1"/>
    <col min="1044" max="1044" width="26.69921875" style="74" customWidth="1"/>
    <col min="1045" max="1045" width="15.296875" style="74" bestFit="1" customWidth="1"/>
    <col min="1046" max="1049" width="13.69921875" style="74" customWidth="1"/>
    <col min="1050" max="1280" width="9" style="74"/>
    <col min="1281" max="1281" width="3.19921875" style="74" customWidth="1"/>
    <col min="1282" max="1283" width="8.19921875" style="74" customWidth="1"/>
    <col min="1284" max="1284" width="5.69921875" style="74" customWidth="1"/>
    <col min="1285" max="1287" width="3.796875" style="74" customWidth="1"/>
    <col min="1288" max="1288" width="4.19921875" style="74" customWidth="1"/>
    <col min="1289" max="1289" width="5.69921875" style="74" customWidth="1"/>
    <col min="1290" max="1290" width="4.796875" style="74" customWidth="1"/>
    <col min="1291" max="1291" width="5.69921875" style="74" customWidth="1"/>
    <col min="1292" max="1297" width="4.5" style="74" customWidth="1"/>
    <col min="1298" max="1298" width="2.19921875" style="74" customWidth="1"/>
    <col min="1299" max="1299" width="13.69921875" style="74" customWidth="1"/>
    <col min="1300" max="1300" width="26.69921875" style="74" customWidth="1"/>
    <col min="1301" max="1301" width="15.296875" style="74" bestFit="1" customWidth="1"/>
    <col min="1302" max="1305" width="13.69921875" style="74" customWidth="1"/>
    <col min="1306" max="1536" width="9" style="74"/>
    <col min="1537" max="1537" width="3.19921875" style="74" customWidth="1"/>
    <col min="1538" max="1539" width="8.19921875" style="74" customWidth="1"/>
    <col min="1540" max="1540" width="5.69921875" style="74" customWidth="1"/>
    <col min="1541" max="1543" width="3.796875" style="74" customWidth="1"/>
    <col min="1544" max="1544" width="4.19921875" style="74" customWidth="1"/>
    <col min="1545" max="1545" width="5.69921875" style="74" customWidth="1"/>
    <col min="1546" max="1546" width="4.796875" style="74" customWidth="1"/>
    <col min="1547" max="1547" width="5.69921875" style="74" customWidth="1"/>
    <col min="1548" max="1553" width="4.5" style="74" customWidth="1"/>
    <col min="1554" max="1554" width="2.19921875" style="74" customWidth="1"/>
    <col min="1555" max="1555" width="13.69921875" style="74" customWidth="1"/>
    <col min="1556" max="1556" width="26.69921875" style="74" customWidth="1"/>
    <col min="1557" max="1557" width="15.296875" style="74" bestFit="1" customWidth="1"/>
    <col min="1558" max="1561" width="13.69921875" style="74" customWidth="1"/>
    <col min="1562" max="1792" width="9" style="74"/>
    <col min="1793" max="1793" width="3.19921875" style="74" customWidth="1"/>
    <col min="1794" max="1795" width="8.19921875" style="74" customWidth="1"/>
    <col min="1796" max="1796" width="5.69921875" style="74" customWidth="1"/>
    <col min="1797" max="1799" width="3.796875" style="74" customWidth="1"/>
    <col min="1800" max="1800" width="4.19921875" style="74" customWidth="1"/>
    <col min="1801" max="1801" width="5.69921875" style="74" customWidth="1"/>
    <col min="1802" max="1802" width="4.796875" style="74" customWidth="1"/>
    <col min="1803" max="1803" width="5.69921875" style="74" customWidth="1"/>
    <col min="1804" max="1809" width="4.5" style="74" customWidth="1"/>
    <col min="1810" max="1810" width="2.19921875" style="74" customWidth="1"/>
    <col min="1811" max="1811" width="13.69921875" style="74" customWidth="1"/>
    <col min="1812" max="1812" width="26.69921875" style="74" customWidth="1"/>
    <col min="1813" max="1813" width="15.296875" style="74" bestFit="1" customWidth="1"/>
    <col min="1814" max="1817" width="13.69921875" style="74" customWidth="1"/>
    <col min="1818" max="2048" width="9" style="74"/>
    <col min="2049" max="2049" width="3.19921875" style="74" customWidth="1"/>
    <col min="2050" max="2051" width="8.19921875" style="74" customWidth="1"/>
    <col min="2052" max="2052" width="5.69921875" style="74" customWidth="1"/>
    <col min="2053" max="2055" width="3.796875" style="74" customWidth="1"/>
    <col min="2056" max="2056" width="4.19921875" style="74" customWidth="1"/>
    <col min="2057" max="2057" width="5.69921875" style="74" customWidth="1"/>
    <col min="2058" max="2058" width="4.796875" style="74" customWidth="1"/>
    <col min="2059" max="2059" width="5.69921875" style="74" customWidth="1"/>
    <col min="2060" max="2065" width="4.5" style="74" customWidth="1"/>
    <col min="2066" max="2066" width="2.19921875" style="74" customWidth="1"/>
    <col min="2067" max="2067" width="13.69921875" style="74" customWidth="1"/>
    <col min="2068" max="2068" width="26.69921875" style="74" customWidth="1"/>
    <col min="2069" max="2069" width="15.296875" style="74" bestFit="1" customWidth="1"/>
    <col min="2070" max="2073" width="13.69921875" style="74" customWidth="1"/>
    <col min="2074" max="2304" width="9" style="74"/>
    <col min="2305" max="2305" width="3.19921875" style="74" customWidth="1"/>
    <col min="2306" max="2307" width="8.19921875" style="74" customWidth="1"/>
    <col min="2308" max="2308" width="5.69921875" style="74" customWidth="1"/>
    <col min="2309" max="2311" width="3.796875" style="74" customWidth="1"/>
    <col min="2312" max="2312" width="4.19921875" style="74" customWidth="1"/>
    <col min="2313" max="2313" width="5.69921875" style="74" customWidth="1"/>
    <col min="2314" max="2314" width="4.796875" style="74" customWidth="1"/>
    <col min="2315" max="2315" width="5.69921875" style="74" customWidth="1"/>
    <col min="2316" max="2321" width="4.5" style="74" customWidth="1"/>
    <col min="2322" max="2322" width="2.19921875" style="74" customWidth="1"/>
    <col min="2323" max="2323" width="13.69921875" style="74" customWidth="1"/>
    <col min="2324" max="2324" width="26.69921875" style="74" customWidth="1"/>
    <col min="2325" max="2325" width="15.296875" style="74" bestFit="1" customWidth="1"/>
    <col min="2326" max="2329" width="13.69921875" style="74" customWidth="1"/>
    <col min="2330" max="2560" width="9" style="74"/>
    <col min="2561" max="2561" width="3.19921875" style="74" customWidth="1"/>
    <col min="2562" max="2563" width="8.19921875" style="74" customWidth="1"/>
    <col min="2564" max="2564" width="5.69921875" style="74" customWidth="1"/>
    <col min="2565" max="2567" width="3.796875" style="74" customWidth="1"/>
    <col min="2568" max="2568" width="4.19921875" style="74" customWidth="1"/>
    <col min="2569" max="2569" width="5.69921875" style="74" customWidth="1"/>
    <col min="2570" max="2570" width="4.796875" style="74" customWidth="1"/>
    <col min="2571" max="2571" width="5.69921875" style="74" customWidth="1"/>
    <col min="2572" max="2577" width="4.5" style="74" customWidth="1"/>
    <col min="2578" max="2578" width="2.19921875" style="74" customWidth="1"/>
    <col min="2579" max="2579" width="13.69921875" style="74" customWidth="1"/>
    <col min="2580" max="2580" width="26.69921875" style="74" customWidth="1"/>
    <col min="2581" max="2581" width="15.296875" style="74" bestFit="1" customWidth="1"/>
    <col min="2582" max="2585" width="13.69921875" style="74" customWidth="1"/>
    <col min="2586" max="2816" width="9" style="74"/>
    <col min="2817" max="2817" width="3.19921875" style="74" customWidth="1"/>
    <col min="2818" max="2819" width="8.19921875" style="74" customWidth="1"/>
    <col min="2820" max="2820" width="5.69921875" style="74" customWidth="1"/>
    <col min="2821" max="2823" width="3.796875" style="74" customWidth="1"/>
    <col min="2824" max="2824" width="4.19921875" style="74" customWidth="1"/>
    <col min="2825" max="2825" width="5.69921875" style="74" customWidth="1"/>
    <col min="2826" max="2826" width="4.796875" style="74" customWidth="1"/>
    <col min="2827" max="2827" width="5.69921875" style="74" customWidth="1"/>
    <col min="2828" max="2833" width="4.5" style="74" customWidth="1"/>
    <col min="2834" max="2834" width="2.19921875" style="74" customWidth="1"/>
    <col min="2835" max="2835" width="13.69921875" style="74" customWidth="1"/>
    <col min="2836" max="2836" width="26.69921875" style="74" customWidth="1"/>
    <col min="2837" max="2837" width="15.296875" style="74" bestFit="1" customWidth="1"/>
    <col min="2838" max="2841" width="13.69921875" style="74" customWidth="1"/>
    <col min="2842" max="3072" width="9" style="74"/>
    <col min="3073" max="3073" width="3.19921875" style="74" customWidth="1"/>
    <col min="3074" max="3075" width="8.19921875" style="74" customWidth="1"/>
    <col min="3076" max="3076" width="5.69921875" style="74" customWidth="1"/>
    <col min="3077" max="3079" width="3.796875" style="74" customWidth="1"/>
    <col min="3080" max="3080" width="4.19921875" style="74" customWidth="1"/>
    <col min="3081" max="3081" width="5.69921875" style="74" customWidth="1"/>
    <col min="3082" max="3082" width="4.796875" style="74" customWidth="1"/>
    <col min="3083" max="3083" width="5.69921875" style="74" customWidth="1"/>
    <col min="3084" max="3089" width="4.5" style="74" customWidth="1"/>
    <col min="3090" max="3090" width="2.19921875" style="74" customWidth="1"/>
    <col min="3091" max="3091" width="13.69921875" style="74" customWidth="1"/>
    <col min="3092" max="3092" width="26.69921875" style="74" customWidth="1"/>
    <col min="3093" max="3093" width="15.296875" style="74" bestFit="1" customWidth="1"/>
    <col min="3094" max="3097" width="13.69921875" style="74" customWidth="1"/>
    <col min="3098" max="3328" width="9" style="74"/>
    <col min="3329" max="3329" width="3.19921875" style="74" customWidth="1"/>
    <col min="3330" max="3331" width="8.19921875" style="74" customWidth="1"/>
    <col min="3332" max="3332" width="5.69921875" style="74" customWidth="1"/>
    <col min="3333" max="3335" width="3.796875" style="74" customWidth="1"/>
    <col min="3336" max="3336" width="4.19921875" style="74" customWidth="1"/>
    <col min="3337" max="3337" width="5.69921875" style="74" customWidth="1"/>
    <col min="3338" max="3338" width="4.796875" style="74" customWidth="1"/>
    <col min="3339" max="3339" width="5.69921875" style="74" customWidth="1"/>
    <col min="3340" max="3345" width="4.5" style="74" customWidth="1"/>
    <col min="3346" max="3346" width="2.19921875" style="74" customWidth="1"/>
    <col min="3347" max="3347" width="13.69921875" style="74" customWidth="1"/>
    <col min="3348" max="3348" width="26.69921875" style="74" customWidth="1"/>
    <col min="3349" max="3349" width="15.296875" style="74" bestFit="1" customWidth="1"/>
    <col min="3350" max="3353" width="13.69921875" style="74" customWidth="1"/>
    <col min="3354" max="3584" width="9" style="74"/>
    <col min="3585" max="3585" width="3.19921875" style="74" customWidth="1"/>
    <col min="3586" max="3587" width="8.19921875" style="74" customWidth="1"/>
    <col min="3588" max="3588" width="5.69921875" style="74" customWidth="1"/>
    <col min="3589" max="3591" width="3.796875" style="74" customWidth="1"/>
    <col min="3592" max="3592" width="4.19921875" style="74" customWidth="1"/>
    <col min="3593" max="3593" width="5.69921875" style="74" customWidth="1"/>
    <col min="3594" max="3594" width="4.796875" style="74" customWidth="1"/>
    <col min="3595" max="3595" width="5.69921875" style="74" customWidth="1"/>
    <col min="3596" max="3601" width="4.5" style="74" customWidth="1"/>
    <col min="3602" max="3602" width="2.19921875" style="74" customWidth="1"/>
    <col min="3603" max="3603" width="13.69921875" style="74" customWidth="1"/>
    <col min="3604" max="3604" width="26.69921875" style="74" customWidth="1"/>
    <col min="3605" max="3605" width="15.296875" style="74" bestFit="1" customWidth="1"/>
    <col min="3606" max="3609" width="13.69921875" style="74" customWidth="1"/>
    <col min="3610" max="3840" width="9" style="74"/>
    <col min="3841" max="3841" width="3.19921875" style="74" customWidth="1"/>
    <col min="3842" max="3843" width="8.19921875" style="74" customWidth="1"/>
    <col min="3844" max="3844" width="5.69921875" style="74" customWidth="1"/>
    <col min="3845" max="3847" width="3.796875" style="74" customWidth="1"/>
    <col min="3848" max="3848" width="4.19921875" style="74" customWidth="1"/>
    <col min="3849" max="3849" width="5.69921875" style="74" customWidth="1"/>
    <col min="3850" max="3850" width="4.796875" style="74" customWidth="1"/>
    <col min="3851" max="3851" width="5.69921875" style="74" customWidth="1"/>
    <col min="3852" max="3857" width="4.5" style="74" customWidth="1"/>
    <col min="3858" max="3858" width="2.19921875" style="74" customWidth="1"/>
    <col min="3859" max="3859" width="13.69921875" style="74" customWidth="1"/>
    <col min="3860" max="3860" width="26.69921875" style="74" customWidth="1"/>
    <col min="3861" max="3861" width="15.296875" style="74" bestFit="1" customWidth="1"/>
    <col min="3862" max="3865" width="13.69921875" style="74" customWidth="1"/>
    <col min="3866" max="4096" width="9" style="74"/>
    <col min="4097" max="4097" width="3.19921875" style="74" customWidth="1"/>
    <col min="4098" max="4099" width="8.19921875" style="74" customWidth="1"/>
    <col min="4100" max="4100" width="5.69921875" style="74" customWidth="1"/>
    <col min="4101" max="4103" width="3.796875" style="74" customWidth="1"/>
    <col min="4104" max="4104" width="4.19921875" style="74" customWidth="1"/>
    <col min="4105" max="4105" width="5.69921875" style="74" customWidth="1"/>
    <col min="4106" max="4106" width="4.796875" style="74" customWidth="1"/>
    <col min="4107" max="4107" width="5.69921875" style="74" customWidth="1"/>
    <col min="4108" max="4113" width="4.5" style="74" customWidth="1"/>
    <col min="4114" max="4114" width="2.19921875" style="74" customWidth="1"/>
    <col min="4115" max="4115" width="13.69921875" style="74" customWidth="1"/>
    <col min="4116" max="4116" width="26.69921875" style="74" customWidth="1"/>
    <col min="4117" max="4117" width="15.296875" style="74" bestFit="1" customWidth="1"/>
    <col min="4118" max="4121" width="13.69921875" style="74" customWidth="1"/>
    <col min="4122" max="4352" width="9" style="74"/>
    <col min="4353" max="4353" width="3.19921875" style="74" customWidth="1"/>
    <col min="4354" max="4355" width="8.19921875" style="74" customWidth="1"/>
    <col min="4356" max="4356" width="5.69921875" style="74" customWidth="1"/>
    <col min="4357" max="4359" width="3.796875" style="74" customWidth="1"/>
    <col min="4360" max="4360" width="4.19921875" style="74" customWidth="1"/>
    <col min="4361" max="4361" width="5.69921875" style="74" customWidth="1"/>
    <col min="4362" max="4362" width="4.796875" style="74" customWidth="1"/>
    <col min="4363" max="4363" width="5.69921875" style="74" customWidth="1"/>
    <col min="4364" max="4369" width="4.5" style="74" customWidth="1"/>
    <col min="4370" max="4370" width="2.19921875" style="74" customWidth="1"/>
    <col min="4371" max="4371" width="13.69921875" style="74" customWidth="1"/>
    <col min="4372" max="4372" width="26.69921875" style="74" customWidth="1"/>
    <col min="4373" max="4373" width="15.296875" style="74" bestFit="1" customWidth="1"/>
    <col min="4374" max="4377" width="13.69921875" style="74" customWidth="1"/>
    <col min="4378" max="4608" width="9" style="74"/>
    <col min="4609" max="4609" width="3.19921875" style="74" customWidth="1"/>
    <col min="4610" max="4611" width="8.19921875" style="74" customWidth="1"/>
    <col min="4612" max="4612" width="5.69921875" style="74" customWidth="1"/>
    <col min="4613" max="4615" width="3.796875" style="74" customWidth="1"/>
    <col min="4616" max="4616" width="4.19921875" style="74" customWidth="1"/>
    <col min="4617" max="4617" width="5.69921875" style="74" customWidth="1"/>
    <col min="4618" max="4618" width="4.796875" style="74" customWidth="1"/>
    <col min="4619" max="4619" width="5.69921875" style="74" customWidth="1"/>
    <col min="4620" max="4625" width="4.5" style="74" customWidth="1"/>
    <col min="4626" max="4626" width="2.19921875" style="74" customWidth="1"/>
    <col min="4627" max="4627" width="13.69921875" style="74" customWidth="1"/>
    <col min="4628" max="4628" width="26.69921875" style="74" customWidth="1"/>
    <col min="4629" max="4629" width="15.296875" style="74" bestFit="1" customWidth="1"/>
    <col min="4630" max="4633" width="13.69921875" style="74" customWidth="1"/>
    <col min="4634" max="4864" width="9" style="74"/>
    <col min="4865" max="4865" width="3.19921875" style="74" customWidth="1"/>
    <col min="4866" max="4867" width="8.19921875" style="74" customWidth="1"/>
    <col min="4868" max="4868" width="5.69921875" style="74" customWidth="1"/>
    <col min="4869" max="4871" width="3.796875" style="74" customWidth="1"/>
    <col min="4872" max="4872" width="4.19921875" style="74" customWidth="1"/>
    <col min="4873" max="4873" width="5.69921875" style="74" customWidth="1"/>
    <col min="4874" max="4874" width="4.796875" style="74" customWidth="1"/>
    <col min="4875" max="4875" width="5.69921875" style="74" customWidth="1"/>
    <col min="4876" max="4881" width="4.5" style="74" customWidth="1"/>
    <col min="4882" max="4882" width="2.19921875" style="74" customWidth="1"/>
    <col min="4883" max="4883" width="13.69921875" style="74" customWidth="1"/>
    <col min="4884" max="4884" width="26.69921875" style="74" customWidth="1"/>
    <col min="4885" max="4885" width="15.296875" style="74" bestFit="1" customWidth="1"/>
    <col min="4886" max="4889" width="13.69921875" style="74" customWidth="1"/>
    <col min="4890" max="5120" width="9" style="74"/>
    <col min="5121" max="5121" width="3.19921875" style="74" customWidth="1"/>
    <col min="5122" max="5123" width="8.19921875" style="74" customWidth="1"/>
    <col min="5124" max="5124" width="5.69921875" style="74" customWidth="1"/>
    <col min="5125" max="5127" width="3.796875" style="74" customWidth="1"/>
    <col min="5128" max="5128" width="4.19921875" style="74" customWidth="1"/>
    <col min="5129" max="5129" width="5.69921875" style="74" customWidth="1"/>
    <col min="5130" max="5130" width="4.796875" style="74" customWidth="1"/>
    <col min="5131" max="5131" width="5.69921875" style="74" customWidth="1"/>
    <col min="5132" max="5137" width="4.5" style="74" customWidth="1"/>
    <col min="5138" max="5138" width="2.19921875" style="74" customWidth="1"/>
    <col min="5139" max="5139" width="13.69921875" style="74" customWidth="1"/>
    <col min="5140" max="5140" width="26.69921875" style="74" customWidth="1"/>
    <col min="5141" max="5141" width="15.296875" style="74" bestFit="1" customWidth="1"/>
    <col min="5142" max="5145" width="13.69921875" style="74" customWidth="1"/>
    <col min="5146" max="5376" width="9" style="74"/>
    <col min="5377" max="5377" width="3.19921875" style="74" customWidth="1"/>
    <col min="5378" max="5379" width="8.19921875" style="74" customWidth="1"/>
    <col min="5380" max="5380" width="5.69921875" style="74" customWidth="1"/>
    <col min="5381" max="5383" width="3.796875" style="74" customWidth="1"/>
    <col min="5384" max="5384" width="4.19921875" style="74" customWidth="1"/>
    <col min="5385" max="5385" width="5.69921875" style="74" customWidth="1"/>
    <col min="5386" max="5386" width="4.796875" style="74" customWidth="1"/>
    <col min="5387" max="5387" width="5.69921875" style="74" customWidth="1"/>
    <col min="5388" max="5393" width="4.5" style="74" customWidth="1"/>
    <col min="5394" max="5394" width="2.19921875" style="74" customWidth="1"/>
    <col min="5395" max="5395" width="13.69921875" style="74" customWidth="1"/>
    <col min="5396" max="5396" width="26.69921875" style="74" customWidth="1"/>
    <col min="5397" max="5397" width="15.296875" style="74" bestFit="1" customWidth="1"/>
    <col min="5398" max="5401" width="13.69921875" style="74" customWidth="1"/>
    <col min="5402" max="5632" width="9" style="74"/>
    <col min="5633" max="5633" width="3.19921875" style="74" customWidth="1"/>
    <col min="5634" max="5635" width="8.19921875" style="74" customWidth="1"/>
    <col min="5636" max="5636" width="5.69921875" style="74" customWidth="1"/>
    <col min="5637" max="5639" width="3.796875" style="74" customWidth="1"/>
    <col min="5640" max="5640" width="4.19921875" style="74" customWidth="1"/>
    <col min="5641" max="5641" width="5.69921875" style="74" customWidth="1"/>
    <col min="5642" max="5642" width="4.796875" style="74" customWidth="1"/>
    <col min="5643" max="5643" width="5.69921875" style="74" customWidth="1"/>
    <col min="5644" max="5649" width="4.5" style="74" customWidth="1"/>
    <col min="5650" max="5650" width="2.19921875" style="74" customWidth="1"/>
    <col min="5651" max="5651" width="13.69921875" style="74" customWidth="1"/>
    <col min="5652" max="5652" width="26.69921875" style="74" customWidth="1"/>
    <col min="5653" max="5653" width="15.296875" style="74" bestFit="1" customWidth="1"/>
    <col min="5654" max="5657" width="13.69921875" style="74" customWidth="1"/>
    <col min="5658" max="5888" width="9" style="74"/>
    <col min="5889" max="5889" width="3.19921875" style="74" customWidth="1"/>
    <col min="5890" max="5891" width="8.19921875" style="74" customWidth="1"/>
    <col min="5892" max="5892" width="5.69921875" style="74" customWidth="1"/>
    <col min="5893" max="5895" width="3.796875" style="74" customWidth="1"/>
    <col min="5896" max="5896" width="4.19921875" style="74" customWidth="1"/>
    <col min="5897" max="5897" width="5.69921875" style="74" customWidth="1"/>
    <col min="5898" max="5898" width="4.796875" style="74" customWidth="1"/>
    <col min="5899" max="5899" width="5.69921875" style="74" customWidth="1"/>
    <col min="5900" max="5905" width="4.5" style="74" customWidth="1"/>
    <col min="5906" max="5906" width="2.19921875" style="74" customWidth="1"/>
    <col min="5907" max="5907" width="13.69921875" style="74" customWidth="1"/>
    <col min="5908" max="5908" width="26.69921875" style="74" customWidth="1"/>
    <col min="5909" max="5909" width="15.296875" style="74" bestFit="1" customWidth="1"/>
    <col min="5910" max="5913" width="13.69921875" style="74" customWidth="1"/>
    <col min="5914" max="6144" width="9" style="74"/>
    <col min="6145" max="6145" width="3.19921875" style="74" customWidth="1"/>
    <col min="6146" max="6147" width="8.19921875" style="74" customWidth="1"/>
    <col min="6148" max="6148" width="5.69921875" style="74" customWidth="1"/>
    <col min="6149" max="6151" width="3.796875" style="74" customWidth="1"/>
    <col min="6152" max="6152" width="4.19921875" style="74" customWidth="1"/>
    <col min="6153" max="6153" width="5.69921875" style="74" customWidth="1"/>
    <col min="6154" max="6154" width="4.796875" style="74" customWidth="1"/>
    <col min="6155" max="6155" width="5.69921875" style="74" customWidth="1"/>
    <col min="6156" max="6161" width="4.5" style="74" customWidth="1"/>
    <col min="6162" max="6162" width="2.19921875" style="74" customWidth="1"/>
    <col min="6163" max="6163" width="13.69921875" style="74" customWidth="1"/>
    <col min="6164" max="6164" width="26.69921875" style="74" customWidth="1"/>
    <col min="6165" max="6165" width="15.296875" style="74" bestFit="1" customWidth="1"/>
    <col min="6166" max="6169" width="13.69921875" style="74" customWidth="1"/>
    <col min="6170" max="6400" width="9" style="74"/>
    <col min="6401" max="6401" width="3.19921875" style="74" customWidth="1"/>
    <col min="6402" max="6403" width="8.19921875" style="74" customWidth="1"/>
    <col min="6404" max="6404" width="5.69921875" style="74" customWidth="1"/>
    <col min="6405" max="6407" width="3.796875" style="74" customWidth="1"/>
    <col min="6408" max="6408" width="4.19921875" style="74" customWidth="1"/>
    <col min="6409" max="6409" width="5.69921875" style="74" customWidth="1"/>
    <col min="6410" max="6410" width="4.796875" style="74" customWidth="1"/>
    <col min="6411" max="6411" width="5.69921875" style="74" customWidth="1"/>
    <col min="6412" max="6417" width="4.5" style="74" customWidth="1"/>
    <col min="6418" max="6418" width="2.19921875" style="74" customWidth="1"/>
    <col min="6419" max="6419" width="13.69921875" style="74" customWidth="1"/>
    <col min="6420" max="6420" width="26.69921875" style="74" customWidth="1"/>
    <col min="6421" max="6421" width="15.296875" style="74" bestFit="1" customWidth="1"/>
    <col min="6422" max="6425" width="13.69921875" style="74" customWidth="1"/>
    <col min="6426" max="6656" width="9" style="74"/>
    <col min="6657" max="6657" width="3.19921875" style="74" customWidth="1"/>
    <col min="6658" max="6659" width="8.19921875" style="74" customWidth="1"/>
    <col min="6660" max="6660" width="5.69921875" style="74" customWidth="1"/>
    <col min="6661" max="6663" width="3.796875" style="74" customWidth="1"/>
    <col min="6664" max="6664" width="4.19921875" style="74" customWidth="1"/>
    <col min="6665" max="6665" width="5.69921875" style="74" customWidth="1"/>
    <col min="6666" max="6666" width="4.796875" style="74" customWidth="1"/>
    <col min="6667" max="6667" width="5.69921875" style="74" customWidth="1"/>
    <col min="6668" max="6673" width="4.5" style="74" customWidth="1"/>
    <col min="6674" max="6674" width="2.19921875" style="74" customWidth="1"/>
    <col min="6675" max="6675" width="13.69921875" style="74" customWidth="1"/>
    <col min="6676" max="6676" width="26.69921875" style="74" customWidth="1"/>
    <col min="6677" max="6677" width="15.296875" style="74" bestFit="1" customWidth="1"/>
    <col min="6678" max="6681" width="13.69921875" style="74" customWidth="1"/>
    <col min="6682" max="6912" width="9" style="74"/>
    <col min="6913" max="6913" width="3.19921875" style="74" customWidth="1"/>
    <col min="6914" max="6915" width="8.19921875" style="74" customWidth="1"/>
    <col min="6916" max="6916" width="5.69921875" style="74" customWidth="1"/>
    <col min="6917" max="6919" width="3.796875" style="74" customWidth="1"/>
    <col min="6920" max="6920" width="4.19921875" style="74" customWidth="1"/>
    <col min="6921" max="6921" width="5.69921875" style="74" customWidth="1"/>
    <col min="6922" max="6922" width="4.796875" style="74" customWidth="1"/>
    <col min="6923" max="6923" width="5.69921875" style="74" customWidth="1"/>
    <col min="6924" max="6929" width="4.5" style="74" customWidth="1"/>
    <col min="6930" max="6930" width="2.19921875" style="74" customWidth="1"/>
    <col min="6931" max="6931" width="13.69921875" style="74" customWidth="1"/>
    <col min="6932" max="6932" width="26.69921875" style="74" customWidth="1"/>
    <col min="6933" max="6933" width="15.296875" style="74" bestFit="1" customWidth="1"/>
    <col min="6934" max="6937" width="13.69921875" style="74" customWidth="1"/>
    <col min="6938" max="7168" width="9" style="74"/>
    <col min="7169" max="7169" width="3.19921875" style="74" customWidth="1"/>
    <col min="7170" max="7171" width="8.19921875" style="74" customWidth="1"/>
    <col min="7172" max="7172" width="5.69921875" style="74" customWidth="1"/>
    <col min="7173" max="7175" width="3.796875" style="74" customWidth="1"/>
    <col min="7176" max="7176" width="4.19921875" style="74" customWidth="1"/>
    <col min="7177" max="7177" width="5.69921875" style="74" customWidth="1"/>
    <col min="7178" max="7178" width="4.796875" style="74" customWidth="1"/>
    <col min="7179" max="7179" width="5.69921875" style="74" customWidth="1"/>
    <col min="7180" max="7185" width="4.5" style="74" customWidth="1"/>
    <col min="7186" max="7186" width="2.19921875" style="74" customWidth="1"/>
    <col min="7187" max="7187" width="13.69921875" style="74" customWidth="1"/>
    <col min="7188" max="7188" width="26.69921875" style="74" customWidth="1"/>
    <col min="7189" max="7189" width="15.296875" style="74" bestFit="1" customWidth="1"/>
    <col min="7190" max="7193" width="13.69921875" style="74" customWidth="1"/>
    <col min="7194" max="7424" width="9" style="74"/>
    <col min="7425" max="7425" width="3.19921875" style="74" customWidth="1"/>
    <col min="7426" max="7427" width="8.19921875" style="74" customWidth="1"/>
    <col min="7428" max="7428" width="5.69921875" style="74" customWidth="1"/>
    <col min="7429" max="7431" width="3.796875" style="74" customWidth="1"/>
    <col min="7432" max="7432" width="4.19921875" style="74" customWidth="1"/>
    <col min="7433" max="7433" width="5.69921875" style="74" customWidth="1"/>
    <col min="7434" max="7434" width="4.796875" style="74" customWidth="1"/>
    <col min="7435" max="7435" width="5.69921875" style="74" customWidth="1"/>
    <col min="7436" max="7441" width="4.5" style="74" customWidth="1"/>
    <col min="7442" max="7442" width="2.19921875" style="74" customWidth="1"/>
    <col min="7443" max="7443" width="13.69921875" style="74" customWidth="1"/>
    <col min="7444" max="7444" width="26.69921875" style="74" customWidth="1"/>
    <col min="7445" max="7445" width="15.296875" style="74" bestFit="1" customWidth="1"/>
    <col min="7446" max="7449" width="13.69921875" style="74" customWidth="1"/>
    <col min="7450" max="7680" width="9" style="74"/>
    <col min="7681" max="7681" width="3.19921875" style="74" customWidth="1"/>
    <col min="7682" max="7683" width="8.19921875" style="74" customWidth="1"/>
    <col min="7684" max="7684" width="5.69921875" style="74" customWidth="1"/>
    <col min="7685" max="7687" width="3.796875" style="74" customWidth="1"/>
    <col min="7688" max="7688" width="4.19921875" style="74" customWidth="1"/>
    <col min="7689" max="7689" width="5.69921875" style="74" customWidth="1"/>
    <col min="7690" max="7690" width="4.796875" style="74" customWidth="1"/>
    <col min="7691" max="7691" width="5.69921875" style="74" customWidth="1"/>
    <col min="7692" max="7697" width="4.5" style="74" customWidth="1"/>
    <col min="7698" max="7698" width="2.19921875" style="74" customWidth="1"/>
    <col min="7699" max="7699" width="13.69921875" style="74" customWidth="1"/>
    <col min="7700" max="7700" width="26.69921875" style="74" customWidth="1"/>
    <col min="7701" max="7701" width="15.296875" style="74" bestFit="1" customWidth="1"/>
    <col min="7702" max="7705" width="13.69921875" style="74" customWidth="1"/>
    <col min="7706" max="7936" width="9" style="74"/>
    <col min="7937" max="7937" width="3.19921875" style="74" customWidth="1"/>
    <col min="7938" max="7939" width="8.19921875" style="74" customWidth="1"/>
    <col min="7940" max="7940" width="5.69921875" style="74" customWidth="1"/>
    <col min="7941" max="7943" width="3.796875" style="74" customWidth="1"/>
    <col min="7944" max="7944" width="4.19921875" style="74" customWidth="1"/>
    <col min="7945" max="7945" width="5.69921875" style="74" customWidth="1"/>
    <col min="7946" max="7946" width="4.796875" style="74" customWidth="1"/>
    <col min="7947" max="7947" width="5.69921875" style="74" customWidth="1"/>
    <col min="7948" max="7953" width="4.5" style="74" customWidth="1"/>
    <col min="7954" max="7954" width="2.19921875" style="74" customWidth="1"/>
    <col min="7955" max="7955" width="13.69921875" style="74" customWidth="1"/>
    <col min="7956" max="7956" width="26.69921875" style="74" customWidth="1"/>
    <col min="7957" max="7957" width="15.296875" style="74" bestFit="1" customWidth="1"/>
    <col min="7958" max="7961" width="13.69921875" style="74" customWidth="1"/>
    <col min="7962" max="8192" width="9" style="74"/>
    <col min="8193" max="8193" width="3.19921875" style="74" customWidth="1"/>
    <col min="8194" max="8195" width="8.19921875" style="74" customWidth="1"/>
    <col min="8196" max="8196" width="5.69921875" style="74" customWidth="1"/>
    <col min="8197" max="8199" width="3.796875" style="74" customWidth="1"/>
    <col min="8200" max="8200" width="4.19921875" style="74" customWidth="1"/>
    <col min="8201" max="8201" width="5.69921875" style="74" customWidth="1"/>
    <col min="8202" max="8202" width="4.796875" style="74" customWidth="1"/>
    <col min="8203" max="8203" width="5.69921875" style="74" customWidth="1"/>
    <col min="8204" max="8209" width="4.5" style="74" customWidth="1"/>
    <col min="8210" max="8210" width="2.19921875" style="74" customWidth="1"/>
    <col min="8211" max="8211" width="13.69921875" style="74" customWidth="1"/>
    <col min="8212" max="8212" width="26.69921875" style="74" customWidth="1"/>
    <col min="8213" max="8213" width="15.296875" style="74" bestFit="1" customWidth="1"/>
    <col min="8214" max="8217" width="13.69921875" style="74" customWidth="1"/>
    <col min="8218" max="8448" width="9" style="74"/>
    <col min="8449" max="8449" width="3.19921875" style="74" customWidth="1"/>
    <col min="8450" max="8451" width="8.19921875" style="74" customWidth="1"/>
    <col min="8452" max="8452" width="5.69921875" style="74" customWidth="1"/>
    <col min="8453" max="8455" width="3.796875" style="74" customWidth="1"/>
    <col min="8456" max="8456" width="4.19921875" style="74" customWidth="1"/>
    <col min="8457" max="8457" width="5.69921875" style="74" customWidth="1"/>
    <col min="8458" max="8458" width="4.796875" style="74" customWidth="1"/>
    <col min="8459" max="8459" width="5.69921875" style="74" customWidth="1"/>
    <col min="8460" max="8465" width="4.5" style="74" customWidth="1"/>
    <col min="8466" max="8466" width="2.19921875" style="74" customWidth="1"/>
    <col min="8467" max="8467" width="13.69921875" style="74" customWidth="1"/>
    <col min="8468" max="8468" width="26.69921875" style="74" customWidth="1"/>
    <col min="8469" max="8469" width="15.296875" style="74" bestFit="1" customWidth="1"/>
    <col min="8470" max="8473" width="13.69921875" style="74" customWidth="1"/>
    <col min="8474" max="8704" width="9" style="74"/>
    <col min="8705" max="8705" width="3.19921875" style="74" customWidth="1"/>
    <col min="8706" max="8707" width="8.19921875" style="74" customWidth="1"/>
    <col min="8708" max="8708" width="5.69921875" style="74" customWidth="1"/>
    <col min="8709" max="8711" width="3.796875" style="74" customWidth="1"/>
    <col min="8712" max="8712" width="4.19921875" style="74" customWidth="1"/>
    <col min="8713" max="8713" width="5.69921875" style="74" customWidth="1"/>
    <col min="8714" max="8714" width="4.796875" style="74" customWidth="1"/>
    <col min="8715" max="8715" width="5.69921875" style="74" customWidth="1"/>
    <col min="8716" max="8721" width="4.5" style="74" customWidth="1"/>
    <col min="8722" max="8722" width="2.19921875" style="74" customWidth="1"/>
    <col min="8723" max="8723" width="13.69921875" style="74" customWidth="1"/>
    <col min="8724" max="8724" width="26.69921875" style="74" customWidth="1"/>
    <col min="8725" max="8725" width="15.296875" style="74" bestFit="1" customWidth="1"/>
    <col min="8726" max="8729" width="13.69921875" style="74" customWidth="1"/>
    <col min="8730" max="8960" width="9" style="74"/>
    <col min="8961" max="8961" width="3.19921875" style="74" customWidth="1"/>
    <col min="8962" max="8963" width="8.19921875" style="74" customWidth="1"/>
    <col min="8964" max="8964" width="5.69921875" style="74" customWidth="1"/>
    <col min="8965" max="8967" width="3.796875" style="74" customWidth="1"/>
    <col min="8968" max="8968" width="4.19921875" style="74" customWidth="1"/>
    <col min="8969" max="8969" width="5.69921875" style="74" customWidth="1"/>
    <col min="8970" max="8970" width="4.796875" style="74" customWidth="1"/>
    <col min="8971" max="8971" width="5.69921875" style="74" customWidth="1"/>
    <col min="8972" max="8977" width="4.5" style="74" customWidth="1"/>
    <col min="8978" max="8978" width="2.19921875" style="74" customWidth="1"/>
    <col min="8979" max="8979" width="13.69921875" style="74" customWidth="1"/>
    <col min="8980" max="8980" width="26.69921875" style="74" customWidth="1"/>
    <col min="8981" max="8981" width="15.296875" style="74" bestFit="1" customWidth="1"/>
    <col min="8982" max="8985" width="13.69921875" style="74" customWidth="1"/>
    <col min="8986" max="9216" width="9" style="74"/>
    <col min="9217" max="9217" width="3.19921875" style="74" customWidth="1"/>
    <col min="9218" max="9219" width="8.19921875" style="74" customWidth="1"/>
    <col min="9220" max="9220" width="5.69921875" style="74" customWidth="1"/>
    <col min="9221" max="9223" width="3.796875" style="74" customWidth="1"/>
    <col min="9224" max="9224" width="4.19921875" style="74" customWidth="1"/>
    <col min="9225" max="9225" width="5.69921875" style="74" customWidth="1"/>
    <col min="9226" max="9226" width="4.796875" style="74" customWidth="1"/>
    <col min="9227" max="9227" width="5.69921875" style="74" customWidth="1"/>
    <col min="9228" max="9233" width="4.5" style="74" customWidth="1"/>
    <col min="9234" max="9234" width="2.19921875" style="74" customWidth="1"/>
    <col min="9235" max="9235" width="13.69921875" style="74" customWidth="1"/>
    <col min="9236" max="9236" width="26.69921875" style="74" customWidth="1"/>
    <col min="9237" max="9237" width="15.296875" style="74" bestFit="1" customWidth="1"/>
    <col min="9238" max="9241" width="13.69921875" style="74" customWidth="1"/>
    <col min="9242" max="9472" width="9" style="74"/>
    <col min="9473" max="9473" width="3.19921875" style="74" customWidth="1"/>
    <col min="9474" max="9475" width="8.19921875" style="74" customWidth="1"/>
    <col min="9476" max="9476" width="5.69921875" style="74" customWidth="1"/>
    <col min="9477" max="9479" width="3.796875" style="74" customWidth="1"/>
    <col min="9480" max="9480" width="4.19921875" style="74" customWidth="1"/>
    <col min="9481" max="9481" width="5.69921875" style="74" customWidth="1"/>
    <col min="9482" max="9482" width="4.796875" style="74" customWidth="1"/>
    <col min="9483" max="9483" width="5.69921875" style="74" customWidth="1"/>
    <col min="9484" max="9489" width="4.5" style="74" customWidth="1"/>
    <col min="9490" max="9490" width="2.19921875" style="74" customWidth="1"/>
    <col min="9491" max="9491" width="13.69921875" style="74" customWidth="1"/>
    <col min="9492" max="9492" width="26.69921875" style="74" customWidth="1"/>
    <col min="9493" max="9493" width="15.296875" style="74" bestFit="1" customWidth="1"/>
    <col min="9494" max="9497" width="13.69921875" style="74" customWidth="1"/>
    <col min="9498" max="9728" width="9" style="74"/>
    <col min="9729" max="9729" width="3.19921875" style="74" customWidth="1"/>
    <col min="9730" max="9731" width="8.19921875" style="74" customWidth="1"/>
    <col min="9732" max="9732" width="5.69921875" style="74" customWidth="1"/>
    <col min="9733" max="9735" width="3.796875" style="74" customWidth="1"/>
    <col min="9736" max="9736" width="4.19921875" style="74" customWidth="1"/>
    <col min="9737" max="9737" width="5.69921875" style="74" customWidth="1"/>
    <col min="9738" max="9738" width="4.796875" style="74" customWidth="1"/>
    <col min="9739" max="9739" width="5.69921875" style="74" customWidth="1"/>
    <col min="9740" max="9745" width="4.5" style="74" customWidth="1"/>
    <col min="9746" max="9746" width="2.19921875" style="74" customWidth="1"/>
    <col min="9747" max="9747" width="13.69921875" style="74" customWidth="1"/>
    <col min="9748" max="9748" width="26.69921875" style="74" customWidth="1"/>
    <col min="9749" max="9749" width="15.296875" style="74" bestFit="1" customWidth="1"/>
    <col min="9750" max="9753" width="13.69921875" style="74" customWidth="1"/>
    <col min="9754" max="9984" width="9" style="74"/>
    <col min="9985" max="9985" width="3.19921875" style="74" customWidth="1"/>
    <col min="9986" max="9987" width="8.19921875" style="74" customWidth="1"/>
    <col min="9988" max="9988" width="5.69921875" style="74" customWidth="1"/>
    <col min="9989" max="9991" width="3.796875" style="74" customWidth="1"/>
    <col min="9992" max="9992" width="4.19921875" style="74" customWidth="1"/>
    <col min="9993" max="9993" width="5.69921875" style="74" customWidth="1"/>
    <col min="9994" max="9994" width="4.796875" style="74" customWidth="1"/>
    <col min="9995" max="9995" width="5.69921875" style="74" customWidth="1"/>
    <col min="9996" max="10001" width="4.5" style="74" customWidth="1"/>
    <col min="10002" max="10002" width="2.19921875" style="74" customWidth="1"/>
    <col min="10003" max="10003" width="13.69921875" style="74" customWidth="1"/>
    <col min="10004" max="10004" width="26.69921875" style="74" customWidth="1"/>
    <col min="10005" max="10005" width="15.296875" style="74" bestFit="1" customWidth="1"/>
    <col min="10006" max="10009" width="13.69921875" style="74" customWidth="1"/>
    <col min="10010" max="10240" width="9" style="74"/>
    <col min="10241" max="10241" width="3.19921875" style="74" customWidth="1"/>
    <col min="10242" max="10243" width="8.19921875" style="74" customWidth="1"/>
    <col min="10244" max="10244" width="5.69921875" style="74" customWidth="1"/>
    <col min="10245" max="10247" width="3.796875" style="74" customWidth="1"/>
    <col min="10248" max="10248" width="4.19921875" style="74" customWidth="1"/>
    <col min="10249" max="10249" width="5.69921875" style="74" customWidth="1"/>
    <col min="10250" max="10250" width="4.796875" style="74" customWidth="1"/>
    <col min="10251" max="10251" width="5.69921875" style="74" customWidth="1"/>
    <col min="10252" max="10257" width="4.5" style="74" customWidth="1"/>
    <col min="10258" max="10258" width="2.19921875" style="74" customWidth="1"/>
    <col min="10259" max="10259" width="13.69921875" style="74" customWidth="1"/>
    <col min="10260" max="10260" width="26.69921875" style="74" customWidth="1"/>
    <col min="10261" max="10261" width="15.296875" style="74" bestFit="1" customWidth="1"/>
    <col min="10262" max="10265" width="13.69921875" style="74" customWidth="1"/>
    <col min="10266" max="10496" width="9" style="74"/>
    <col min="10497" max="10497" width="3.19921875" style="74" customWidth="1"/>
    <col min="10498" max="10499" width="8.19921875" style="74" customWidth="1"/>
    <col min="10500" max="10500" width="5.69921875" style="74" customWidth="1"/>
    <col min="10501" max="10503" width="3.796875" style="74" customWidth="1"/>
    <col min="10504" max="10504" width="4.19921875" style="74" customWidth="1"/>
    <col min="10505" max="10505" width="5.69921875" style="74" customWidth="1"/>
    <col min="10506" max="10506" width="4.796875" style="74" customWidth="1"/>
    <col min="10507" max="10507" width="5.69921875" style="74" customWidth="1"/>
    <col min="10508" max="10513" width="4.5" style="74" customWidth="1"/>
    <col min="10514" max="10514" width="2.19921875" style="74" customWidth="1"/>
    <col min="10515" max="10515" width="13.69921875" style="74" customWidth="1"/>
    <col min="10516" max="10516" width="26.69921875" style="74" customWidth="1"/>
    <col min="10517" max="10517" width="15.296875" style="74" bestFit="1" customWidth="1"/>
    <col min="10518" max="10521" width="13.69921875" style="74" customWidth="1"/>
    <col min="10522" max="10752" width="9" style="74"/>
    <col min="10753" max="10753" width="3.19921875" style="74" customWidth="1"/>
    <col min="10754" max="10755" width="8.19921875" style="74" customWidth="1"/>
    <col min="10756" max="10756" width="5.69921875" style="74" customWidth="1"/>
    <col min="10757" max="10759" width="3.796875" style="74" customWidth="1"/>
    <col min="10760" max="10760" width="4.19921875" style="74" customWidth="1"/>
    <col min="10761" max="10761" width="5.69921875" style="74" customWidth="1"/>
    <col min="10762" max="10762" width="4.796875" style="74" customWidth="1"/>
    <col min="10763" max="10763" width="5.69921875" style="74" customWidth="1"/>
    <col min="10764" max="10769" width="4.5" style="74" customWidth="1"/>
    <col min="10770" max="10770" width="2.19921875" style="74" customWidth="1"/>
    <col min="10771" max="10771" width="13.69921875" style="74" customWidth="1"/>
    <col min="10772" max="10772" width="26.69921875" style="74" customWidth="1"/>
    <col min="10773" max="10773" width="15.296875" style="74" bestFit="1" customWidth="1"/>
    <col min="10774" max="10777" width="13.69921875" style="74" customWidth="1"/>
    <col min="10778" max="11008" width="9" style="74"/>
    <col min="11009" max="11009" width="3.19921875" style="74" customWidth="1"/>
    <col min="11010" max="11011" width="8.19921875" style="74" customWidth="1"/>
    <col min="11012" max="11012" width="5.69921875" style="74" customWidth="1"/>
    <col min="11013" max="11015" width="3.796875" style="74" customWidth="1"/>
    <col min="11016" max="11016" width="4.19921875" style="74" customWidth="1"/>
    <col min="11017" max="11017" width="5.69921875" style="74" customWidth="1"/>
    <col min="11018" max="11018" width="4.796875" style="74" customWidth="1"/>
    <col min="11019" max="11019" width="5.69921875" style="74" customWidth="1"/>
    <col min="11020" max="11025" width="4.5" style="74" customWidth="1"/>
    <col min="11026" max="11026" width="2.19921875" style="74" customWidth="1"/>
    <col min="11027" max="11027" width="13.69921875" style="74" customWidth="1"/>
    <col min="11028" max="11028" width="26.69921875" style="74" customWidth="1"/>
    <col min="11029" max="11029" width="15.296875" style="74" bestFit="1" customWidth="1"/>
    <col min="11030" max="11033" width="13.69921875" style="74" customWidth="1"/>
    <col min="11034" max="11264" width="9" style="74"/>
    <col min="11265" max="11265" width="3.19921875" style="74" customWidth="1"/>
    <col min="11266" max="11267" width="8.19921875" style="74" customWidth="1"/>
    <col min="11268" max="11268" width="5.69921875" style="74" customWidth="1"/>
    <col min="11269" max="11271" width="3.796875" style="74" customWidth="1"/>
    <col min="11272" max="11272" width="4.19921875" style="74" customWidth="1"/>
    <col min="11273" max="11273" width="5.69921875" style="74" customWidth="1"/>
    <col min="11274" max="11274" width="4.796875" style="74" customWidth="1"/>
    <col min="11275" max="11275" width="5.69921875" style="74" customWidth="1"/>
    <col min="11276" max="11281" width="4.5" style="74" customWidth="1"/>
    <col min="11282" max="11282" width="2.19921875" style="74" customWidth="1"/>
    <col min="11283" max="11283" width="13.69921875" style="74" customWidth="1"/>
    <col min="11284" max="11284" width="26.69921875" style="74" customWidth="1"/>
    <col min="11285" max="11285" width="15.296875" style="74" bestFit="1" customWidth="1"/>
    <col min="11286" max="11289" width="13.69921875" style="74" customWidth="1"/>
    <col min="11290" max="11520" width="9" style="74"/>
    <col min="11521" max="11521" width="3.19921875" style="74" customWidth="1"/>
    <col min="11522" max="11523" width="8.19921875" style="74" customWidth="1"/>
    <col min="11524" max="11524" width="5.69921875" style="74" customWidth="1"/>
    <col min="11525" max="11527" width="3.796875" style="74" customWidth="1"/>
    <col min="11528" max="11528" width="4.19921875" style="74" customWidth="1"/>
    <col min="11529" max="11529" width="5.69921875" style="74" customWidth="1"/>
    <col min="11530" max="11530" width="4.796875" style="74" customWidth="1"/>
    <col min="11531" max="11531" width="5.69921875" style="74" customWidth="1"/>
    <col min="11532" max="11537" width="4.5" style="74" customWidth="1"/>
    <col min="11538" max="11538" width="2.19921875" style="74" customWidth="1"/>
    <col min="11539" max="11539" width="13.69921875" style="74" customWidth="1"/>
    <col min="11540" max="11540" width="26.69921875" style="74" customWidth="1"/>
    <col min="11541" max="11541" width="15.296875" style="74" bestFit="1" customWidth="1"/>
    <col min="11542" max="11545" width="13.69921875" style="74" customWidth="1"/>
    <col min="11546" max="11776" width="9" style="74"/>
    <col min="11777" max="11777" width="3.19921875" style="74" customWidth="1"/>
    <col min="11778" max="11779" width="8.19921875" style="74" customWidth="1"/>
    <col min="11780" max="11780" width="5.69921875" style="74" customWidth="1"/>
    <col min="11781" max="11783" width="3.796875" style="74" customWidth="1"/>
    <col min="11784" max="11784" width="4.19921875" style="74" customWidth="1"/>
    <col min="11785" max="11785" width="5.69921875" style="74" customWidth="1"/>
    <col min="11786" max="11786" width="4.796875" style="74" customWidth="1"/>
    <col min="11787" max="11787" width="5.69921875" style="74" customWidth="1"/>
    <col min="11788" max="11793" width="4.5" style="74" customWidth="1"/>
    <col min="11794" max="11794" width="2.19921875" style="74" customWidth="1"/>
    <col min="11795" max="11795" width="13.69921875" style="74" customWidth="1"/>
    <col min="11796" max="11796" width="26.69921875" style="74" customWidth="1"/>
    <col min="11797" max="11797" width="15.296875" style="74" bestFit="1" customWidth="1"/>
    <col min="11798" max="11801" width="13.69921875" style="74" customWidth="1"/>
    <col min="11802" max="12032" width="9" style="74"/>
    <col min="12033" max="12033" width="3.19921875" style="74" customWidth="1"/>
    <col min="12034" max="12035" width="8.19921875" style="74" customWidth="1"/>
    <col min="12036" max="12036" width="5.69921875" style="74" customWidth="1"/>
    <col min="12037" max="12039" width="3.796875" style="74" customWidth="1"/>
    <col min="12040" max="12040" width="4.19921875" style="74" customWidth="1"/>
    <col min="12041" max="12041" width="5.69921875" style="74" customWidth="1"/>
    <col min="12042" max="12042" width="4.796875" style="74" customWidth="1"/>
    <col min="12043" max="12043" width="5.69921875" style="74" customWidth="1"/>
    <col min="12044" max="12049" width="4.5" style="74" customWidth="1"/>
    <col min="12050" max="12050" width="2.19921875" style="74" customWidth="1"/>
    <col min="12051" max="12051" width="13.69921875" style="74" customWidth="1"/>
    <col min="12052" max="12052" width="26.69921875" style="74" customWidth="1"/>
    <col min="12053" max="12053" width="15.296875" style="74" bestFit="1" customWidth="1"/>
    <col min="12054" max="12057" width="13.69921875" style="74" customWidth="1"/>
    <col min="12058" max="12288" width="9" style="74"/>
    <col min="12289" max="12289" width="3.19921875" style="74" customWidth="1"/>
    <col min="12290" max="12291" width="8.19921875" style="74" customWidth="1"/>
    <col min="12292" max="12292" width="5.69921875" style="74" customWidth="1"/>
    <col min="12293" max="12295" width="3.796875" style="74" customWidth="1"/>
    <col min="12296" max="12296" width="4.19921875" style="74" customWidth="1"/>
    <col min="12297" max="12297" width="5.69921875" style="74" customWidth="1"/>
    <col min="12298" max="12298" width="4.796875" style="74" customWidth="1"/>
    <col min="12299" max="12299" width="5.69921875" style="74" customWidth="1"/>
    <col min="12300" max="12305" width="4.5" style="74" customWidth="1"/>
    <col min="12306" max="12306" width="2.19921875" style="74" customWidth="1"/>
    <col min="12307" max="12307" width="13.69921875" style="74" customWidth="1"/>
    <col min="12308" max="12308" width="26.69921875" style="74" customWidth="1"/>
    <col min="12309" max="12309" width="15.296875" style="74" bestFit="1" customWidth="1"/>
    <col min="12310" max="12313" width="13.69921875" style="74" customWidth="1"/>
    <col min="12314" max="12544" width="9" style="74"/>
    <col min="12545" max="12545" width="3.19921875" style="74" customWidth="1"/>
    <col min="12546" max="12547" width="8.19921875" style="74" customWidth="1"/>
    <col min="12548" max="12548" width="5.69921875" style="74" customWidth="1"/>
    <col min="12549" max="12551" width="3.796875" style="74" customWidth="1"/>
    <col min="12552" max="12552" width="4.19921875" style="74" customWidth="1"/>
    <col min="12553" max="12553" width="5.69921875" style="74" customWidth="1"/>
    <col min="12554" max="12554" width="4.796875" style="74" customWidth="1"/>
    <col min="12555" max="12555" width="5.69921875" style="74" customWidth="1"/>
    <col min="12556" max="12561" width="4.5" style="74" customWidth="1"/>
    <col min="12562" max="12562" width="2.19921875" style="74" customWidth="1"/>
    <col min="12563" max="12563" width="13.69921875" style="74" customWidth="1"/>
    <col min="12564" max="12564" width="26.69921875" style="74" customWidth="1"/>
    <col min="12565" max="12565" width="15.296875" style="74" bestFit="1" customWidth="1"/>
    <col min="12566" max="12569" width="13.69921875" style="74" customWidth="1"/>
    <col min="12570" max="12800" width="9" style="74"/>
    <col min="12801" max="12801" width="3.19921875" style="74" customWidth="1"/>
    <col min="12802" max="12803" width="8.19921875" style="74" customWidth="1"/>
    <col min="12804" max="12804" width="5.69921875" style="74" customWidth="1"/>
    <col min="12805" max="12807" width="3.796875" style="74" customWidth="1"/>
    <col min="12808" max="12808" width="4.19921875" style="74" customWidth="1"/>
    <col min="12809" max="12809" width="5.69921875" style="74" customWidth="1"/>
    <col min="12810" max="12810" width="4.796875" style="74" customWidth="1"/>
    <col min="12811" max="12811" width="5.69921875" style="74" customWidth="1"/>
    <col min="12812" max="12817" width="4.5" style="74" customWidth="1"/>
    <col min="12818" max="12818" width="2.19921875" style="74" customWidth="1"/>
    <col min="12819" max="12819" width="13.69921875" style="74" customWidth="1"/>
    <col min="12820" max="12820" width="26.69921875" style="74" customWidth="1"/>
    <col min="12821" max="12821" width="15.296875" style="74" bestFit="1" customWidth="1"/>
    <col min="12822" max="12825" width="13.69921875" style="74" customWidth="1"/>
    <col min="12826" max="13056" width="9" style="74"/>
    <col min="13057" max="13057" width="3.19921875" style="74" customWidth="1"/>
    <col min="13058" max="13059" width="8.19921875" style="74" customWidth="1"/>
    <col min="13060" max="13060" width="5.69921875" style="74" customWidth="1"/>
    <col min="13061" max="13063" width="3.796875" style="74" customWidth="1"/>
    <col min="13064" max="13064" width="4.19921875" style="74" customWidth="1"/>
    <col min="13065" max="13065" width="5.69921875" style="74" customWidth="1"/>
    <col min="13066" max="13066" width="4.796875" style="74" customWidth="1"/>
    <col min="13067" max="13067" width="5.69921875" style="74" customWidth="1"/>
    <col min="13068" max="13073" width="4.5" style="74" customWidth="1"/>
    <col min="13074" max="13074" width="2.19921875" style="74" customWidth="1"/>
    <col min="13075" max="13075" width="13.69921875" style="74" customWidth="1"/>
    <col min="13076" max="13076" width="26.69921875" style="74" customWidth="1"/>
    <col min="13077" max="13077" width="15.296875" style="74" bestFit="1" customWidth="1"/>
    <col min="13078" max="13081" width="13.69921875" style="74" customWidth="1"/>
    <col min="13082" max="13312" width="9" style="74"/>
    <col min="13313" max="13313" width="3.19921875" style="74" customWidth="1"/>
    <col min="13314" max="13315" width="8.19921875" style="74" customWidth="1"/>
    <col min="13316" max="13316" width="5.69921875" style="74" customWidth="1"/>
    <col min="13317" max="13319" width="3.796875" style="74" customWidth="1"/>
    <col min="13320" max="13320" width="4.19921875" style="74" customWidth="1"/>
    <col min="13321" max="13321" width="5.69921875" style="74" customWidth="1"/>
    <col min="13322" max="13322" width="4.796875" style="74" customWidth="1"/>
    <col min="13323" max="13323" width="5.69921875" style="74" customWidth="1"/>
    <col min="13324" max="13329" width="4.5" style="74" customWidth="1"/>
    <col min="13330" max="13330" width="2.19921875" style="74" customWidth="1"/>
    <col min="13331" max="13331" width="13.69921875" style="74" customWidth="1"/>
    <col min="13332" max="13332" width="26.69921875" style="74" customWidth="1"/>
    <col min="13333" max="13333" width="15.296875" style="74" bestFit="1" customWidth="1"/>
    <col min="13334" max="13337" width="13.69921875" style="74" customWidth="1"/>
    <col min="13338" max="13568" width="9" style="74"/>
    <col min="13569" max="13569" width="3.19921875" style="74" customWidth="1"/>
    <col min="13570" max="13571" width="8.19921875" style="74" customWidth="1"/>
    <col min="13572" max="13572" width="5.69921875" style="74" customWidth="1"/>
    <col min="13573" max="13575" width="3.796875" style="74" customWidth="1"/>
    <col min="13576" max="13576" width="4.19921875" style="74" customWidth="1"/>
    <col min="13577" max="13577" width="5.69921875" style="74" customWidth="1"/>
    <col min="13578" max="13578" width="4.796875" style="74" customWidth="1"/>
    <col min="13579" max="13579" width="5.69921875" style="74" customWidth="1"/>
    <col min="13580" max="13585" width="4.5" style="74" customWidth="1"/>
    <col min="13586" max="13586" width="2.19921875" style="74" customWidth="1"/>
    <col min="13587" max="13587" width="13.69921875" style="74" customWidth="1"/>
    <col min="13588" max="13588" width="26.69921875" style="74" customWidth="1"/>
    <col min="13589" max="13589" width="15.296875" style="74" bestFit="1" customWidth="1"/>
    <col min="13590" max="13593" width="13.69921875" style="74" customWidth="1"/>
    <col min="13594" max="13824" width="9" style="74"/>
    <col min="13825" max="13825" width="3.19921875" style="74" customWidth="1"/>
    <col min="13826" max="13827" width="8.19921875" style="74" customWidth="1"/>
    <col min="13828" max="13828" width="5.69921875" style="74" customWidth="1"/>
    <col min="13829" max="13831" width="3.796875" style="74" customWidth="1"/>
    <col min="13832" max="13832" width="4.19921875" style="74" customWidth="1"/>
    <col min="13833" max="13833" width="5.69921875" style="74" customWidth="1"/>
    <col min="13834" max="13834" width="4.796875" style="74" customWidth="1"/>
    <col min="13835" max="13835" width="5.69921875" style="74" customWidth="1"/>
    <col min="13836" max="13841" width="4.5" style="74" customWidth="1"/>
    <col min="13842" max="13842" width="2.19921875" style="74" customWidth="1"/>
    <col min="13843" max="13843" width="13.69921875" style="74" customWidth="1"/>
    <col min="13844" max="13844" width="26.69921875" style="74" customWidth="1"/>
    <col min="13845" max="13845" width="15.296875" style="74" bestFit="1" customWidth="1"/>
    <col min="13846" max="13849" width="13.69921875" style="74" customWidth="1"/>
    <col min="13850" max="14080" width="9" style="74"/>
    <col min="14081" max="14081" width="3.19921875" style="74" customWidth="1"/>
    <col min="14082" max="14083" width="8.19921875" style="74" customWidth="1"/>
    <col min="14084" max="14084" width="5.69921875" style="74" customWidth="1"/>
    <col min="14085" max="14087" width="3.796875" style="74" customWidth="1"/>
    <col min="14088" max="14088" width="4.19921875" style="74" customWidth="1"/>
    <col min="14089" max="14089" width="5.69921875" style="74" customWidth="1"/>
    <col min="14090" max="14090" width="4.796875" style="74" customWidth="1"/>
    <col min="14091" max="14091" width="5.69921875" style="74" customWidth="1"/>
    <col min="14092" max="14097" width="4.5" style="74" customWidth="1"/>
    <col min="14098" max="14098" width="2.19921875" style="74" customWidth="1"/>
    <col min="14099" max="14099" width="13.69921875" style="74" customWidth="1"/>
    <col min="14100" max="14100" width="26.69921875" style="74" customWidth="1"/>
    <col min="14101" max="14101" width="15.296875" style="74" bestFit="1" customWidth="1"/>
    <col min="14102" max="14105" width="13.69921875" style="74" customWidth="1"/>
    <col min="14106" max="14336" width="9" style="74"/>
    <col min="14337" max="14337" width="3.19921875" style="74" customWidth="1"/>
    <col min="14338" max="14339" width="8.19921875" style="74" customWidth="1"/>
    <col min="14340" max="14340" width="5.69921875" style="74" customWidth="1"/>
    <col min="14341" max="14343" width="3.796875" style="74" customWidth="1"/>
    <col min="14344" max="14344" width="4.19921875" style="74" customWidth="1"/>
    <col min="14345" max="14345" width="5.69921875" style="74" customWidth="1"/>
    <col min="14346" max="14346" width="4.796875" style="74" customWidth="1"/>
    <col min="14347" max="14347" width="5.69921875" style="74" customWidth="1"/>
    <col min="14348" max="14353" width="4.5" style="74" customWidth="1"/>
    <col min="14354" max="14354" width="2.19921875" style="74" customWidth="1"/>
    <col min="14355" max="14355" width="13.69921875" style="74" customWidth="1"/>
    <col min="14356" max="14356" width="26.69921875" style="74" customWidth="1"/>
    <col min="14357" max="14357" width="15.296875" style="74" bestFit="1" customWidth="1"/>
    <col min="14358" max="14361" width="13.69921875" style="74" customWidth="1"/>
    <col min="14362" max="14592" width="9" style="74"/>
    <col min="14593" max="14593" width="3.19921875" style="74" customWidth="1"/>
    <col min="14594" max="14595" width="8.19921875" style="74" customWidth="1"/>
    <col min="14596" max="14596" width="5.69921875" style="74" customWidth="1"/>
    <col min="14597" max="14599" width="3.796875" style="74" customWidth="1"/>
    <col min="14600" max="14600" width="4.19921875" style="74" customWidth="1"/>
    <col min="14601" max="14601" width="5.69921875" style="74" customWidth="1"/>
    <col min="14602" max="14602" width="4.796875" style="74" customWidth="1"/>
    <col min="14603" max="14603" width="5.69921875" style="74" customWidth="1"/>
    <col min="14604" max="14609" width="4.5" style="74" customWidth="1"/>
    <col min="14610" max="14610" width="2.19921875" style="74" customWidth="1"/>
    <col min="14611" max="14611" width="13.69921875" style="74" customWidth="1"/>
    <col min="14612" max="14612" width="26.69921875" style="74" customWidth="1"/>
    <col min="14613" max="14613" width="15.296875" style="74" bestFit="1" customWidth="1"/>
    <col min="14614" max="14617" width="13.69921875" style="74" customWidth="1"/>
    <col min="14618" max="14848" width="9" style="74"/>
    <col min="14849" max="14849" width="3.19921875" style="74" customWidth="1"/>
    <col min="14850" max="14851" width="8.19921875" style="74" customWidth="1"/>
    <col min="14852" max="14852" width="5.69921875" style="74" customWidth="1"/>
    <col min="14853" max="14855" width="3.796875" style="74" customWidth="1"/>
    <col min="14856" max="14856" width="4.19921875" style="74" customWidth="1"/>
    <col min="14857" max="14857" width="5.69921875" style="74" customWidth="1"/>
    <col min="14858" max="14858" width="4.796875" style="74" customWidth="1"/>
    <col min="14859" max="14859" width="5.69921875" style="74" customWidth="1"/>
    <col min="14860" max="14865" width="4.5" style="74" customWidth="1"/>
    <col min="14866" max="14866" width="2.19921875" style="74" customWidth="1"/>
    <col min="14867" max="14867" width="13.69921875" style="74" customWidth="1"/>
    <col min="14868" max="14868" width="26.69921875" style="74" customWidth="1"/>
    <col min="14869" max="14869" width="15.296875" style="74" bestFit="1" customWidth="1"/>
    <col min="14870" max="14873" width="13.69921875" style="74" customWidth="1"/>
    <col min="14874" max="15104" width="9" style="74"/>
    <col min="15105" max="15105" width="3.19921875" style="74" customWidth="1"/>
    <col min="15106" max="15107" width="8.19921875" style="74" customWidth="1"/>
    <col min="15108" max="15108" width="5.69921875" style="74" customWidth="1"/>
    <col min="15109" max="15111" width="3.796875" style="74" customWidth="1"/>
    <col min="15112" max="15112" width="4.19921875" style="74" customWidth="1"/>
    <col min="15113" max="15113" width="5.69921875" style="74" customWidth="1"/>
    <col min="15114" max="15114" width="4.796875" style="74" customWidth="1"/>
    <col min="15115" max="15115" width="5.69921875" style="74" customWidth="1"/>
    <col min="15116" max="15121" width="4.5" style="74" customWidth="1"/>
    <col min="15122" max="15122" width="2.19921875" style="74" customWidth="1"/>
    <col min="15123" max="15123" width="13.69921875" style="74" customWidth="1"/>
    <col min="15124" max="15124" width="26.69921875" style="74" customWidth="1"/>
    <col min="15125" max="15125" width="15.296875" style="74" bestFit="1" customWidth="1"/>
    <col min="15126" max="15129" width="13.69921875" style="74" customWidth="1"/>
    <col min="15130" max="15360" width="9" style="74"/>
    <col min="15361" max="15361" width="3.19921875" style="74" customWidth="1"/>
    <col min="15362" max="15363" width="8.19921875" style="74" customWidth="1"/>
    <col min="15364" max="15364" width="5.69921875" style="74" customWidth="1"/>
    <col min="15365" max="15367" width="3.796875" style="74" customWidth="1"/>
    <col min="15368" max="15368" width="4.19921875" style="74" customWidth="1"/>
    <col min="15369" max="15369" width="5.69921875" style="74" customWidth="1"/>
    <col min="15370" max="15370" width="4.796875" style="74" customWidth="1"/>
    <col min="15371" max="15371" width="5.69921875" style="74" customWidth="1"/>
    <col min="15372" max="15377" width="4.5" style="74" customWidth="1"/>
    <col min="15378" max="15378" width="2.19921875" style="74" customWidth="1"/>
    <col min="15379" max="15379" width="13.69921875" style="74" customWidth="1"/>
    <col min="15380" max="15380" width="26.69921875" style="74" customWidth="1"/>
    <col min="15381" max="15381" width="15.296875" style="74" bestFit="1" customWidth="1"/>
    <col min="15382" max="15385" width="13.69921875" style="74" customWidth="1"/>
    <col min="15386" max="15616" width="9" style="74"/>
    <col min="15617" max="15617" width="3.19921875" style="74" customWidth="1"/>
    <col min="15618" max="15619" width="8.19921875" style="74" customWidth="1"/>
    <col min="15620" max="15620" width="5.69921875" style="74" customWidth="1"/>
    <col min="15621" max="15623" width="3.796875" style="74" customWidth="1"/>
    <col min="15624" max="15624" width="4.19921875" style="74" customWidth="1"/>
    <col min="15625" max="15625" width="5.69921875" style="74" customWidth="1"/>
    <col min="15626" max="15626" width="4.796875" style="74" customWidth="1"/>
    <col min="15627" max="15627" width="5.69921875" style="74" customWidth="1"/>
    <col min="15628" max="15633" width="4.5" style="74" customWidth="1"/>
    <col min="15634" max="15634" width="2.19921875" style="74" customWidth="1"/>
    <col min="15635" max="15635" width="13.69921875" style="74" customWidth="1"/>
    <col min="15636" max="15636" width="26.69921875" style="74" customWidth="1"/>
    <col min="15637" max="15637" width="15.296875" style="74" bestFit="1" customWidth="1"/>
    <col min="15638" max="15641" width="13.69921875" style="74" customWidth="1"/>
    <col min="15642" max="15872" width="9" style="74"/>
    <col min="15873" max="15873" width="3.19921875" style="74" customWidth="1"/>
    <col min="15874" max="15875" width="8.19921875" style="74" customWidth="1"/>
    <col min="15876" max="15876" width="5.69921875" style="74" customWidth="1"/>
    <col min="15877" max="15879" width="3.796875" style="74" customWidth="1"/>
    <col min="15880" max="15880" width="4.19921875" style="74" customWidth="1"/>
    <col min="15881" max="15881" width="5.69921875" style="74" customWidth="1"/>
    <col min="15882" max="15882" width="4.796875" style="74" customWidth="1"/>
    <col min="15883" max="15883" width="5.69921875" style="74" customWidth="1"/>
    <col min="15884" max="15889" width="4.5" style="74" customWidth="1"/>
    <col min="15890" max="15890" width="2.19921875" style="74" customWidth="1"/>
    <col min="15891" max="15891" width="13.69921875" style="74" customWidth="1"/>
    <col min="15892" max="15892" width="26.69921875" style="74" customWidth="1"/>
    <col min="15893" max="15893" width="15.296875" style="74" bestFit="1" customWidth="1"/>
    <col min="15894" max="15897" width="13.69921875" style="74" customWidth="1"/>
    <col min="15898" max="16128" width="9" style="74"/>
    <col min="16129" max="16129" width="3.19921875" style="74" customWidth="1"/>
    <col min="16130" max="16131" width="8.19921875" style="74" customWidth="1"/>
    <col min="16132" max="16132" width="5.69921875" style="74" customWidth="1"/>
    <col min="16133" max="16135" width="3.796875" style="74" customWidth="1"/>
    <col min="16136" max="16136" width="4.19921875" style="74" customWidth="1"/>
    <col min="16137" max="16137" width="5.69921875" style="74" customWidth="1"/>
    <col min="16138" max="16138" width="4.796875" style="74" customWidth="1"/>
    <col min="16139" max="16139" width="5.69921875" style="74" customWidth="1"/>
    <col min="16140" max="16145" width="4.5" style="74" customWidth="1"/>
    <col min="16146" max="16146" width="2.19921875" style="74" customWidth="1"/>
    <col min="16147" max="16147" width="13.69921875" style="74" customWidth="1"/>
    <col min="16148" max="16148" width="26.69921875" style="74" customWidth="1"/>
    <col min="16149" max="16149" width="15.296875" style="74" bestFit="1" customWidth="1"/>
    <col min="16150" max="16153" width="13.69921875" style="74" customWidth="1"/>
    <col min="16154" max="16384" width="9" style="74"/>
  </cols>
  <sheetData>
    <row r="1" spans="1:27" s="66" customFormat="1" ht="15" customHeight="1">
      <c r="B1" s="184"/>
      <c r="C1" s="184"/>
      <c r="J1" s="65"/>
      <c r="K1" s="65"/>
      <c r="L1" s="65"/>
      <c r="M1" s="65"/>
      <c r="N1" s="65"/>
      <c r="O1" s="65"/>
      <c r="P1" s="65"/>
      <c r="Q1" s="65"/>
      <c r="R1" s="184"/>
      <c r="S1" s="184"/>
      <c r="T1" s="65" t="s">
        <v>392</v>
      </c>
    </row>
    <row r="2" spans="1:27" ht="15" customHeight="1">
      <c r="A2" s="75" t="s">
        <v>393</v>
      </c>
      <c r="B2" s="73"/>
      <c r="C2" s="73"/>
      <c r="D2" s="65"/>
      <c r="E2" s="65"/>
      <c r="F2" s="65"/>
      <c r="G2" s="65"/>
      <c r="H2" s="65"/>
      <c r="I2" s="65"/>
      <c r="O2" s="158" t="str">
        <f>'SP11-1'!$L$2</f>
        <v>Spreadsheet released 14-Apr-2023</v>
      </c>
      <c r="R2" s="65"/>
      <c r="S2" s="65"/>
      <c r="T2" s="159" t="s">
        <v>394</v>
      </c>
      <c r="U2" s="65"/>
      <c r="V2" s="65"/>
      <c r="W2" s="65"/>
      <c r="X2" s="65"/>
      <c r="Y2" s="65"/>
      <c r="Z2" s="65"/>
      <c r="AA2" s="65"/>
    </row>
    <row r="3" spans="1:27" s="66" customFormat="1" ht="15" customHeight="1">
      <c r="A3" s="73" t="s">
        <v>603</v>
      </c>
      <c r="B3" s="73"/>
      <c r="C3" s="73"/>
      <c r="D3" s="65"/>
      <c r="E3" s="65"/>
      <c r="F3" s="65"/>
      <c r="G3" s="65"/>
      <c r="H3" s="65"/>
      <c r="I3" s="65"/>
      <c r="J3" s="65"/>
      <c r="K3" s="65"/>
      <c r="L3" s="65"/>
      <c r="M3" s="65"/>
      <c r="N3" s="65"/>
      <c r="O3" s="65"/>
      <c r="P3" s="65"/>
      <c r="Q3" s="65"/>
      <c r="R3" s="70"/>
      <c r="S3" s="70"/>
      <c r="T3" s="65"/>
      <c r="U3" s="65"/>
      <c r="V3" s="65"/>
      <c r="W3" s="65"/>
      <c r="X3" s="65"/>
      <c r="Y3" s="65"/>
      <c r="Z3" s="65"/>
      <c r="AA3" s="65"/>
    </row>
    <row r="4" spans="1:27" s="59" customFormat="1" ht="15" customHeight="1">
      <c r="A4" s="72"/>
      <c r="B4" s="726" t="s">
        <v>604</v>
      </c>
      <c r="C4" s="726"/>
      <c r="D4" s="726"/>
      <c r="E4" s="726"/>
      <c r="F4" s="726"/>
      <c r="G4" s="726"/>
      <c r="H4" s="726"/>
      <c r="I4" s="726"/>
      <c r="J4" s="726"/>
      <c r="K4" s="726"/>
      <c r="L4" s="726"/>
      <c r="M4" s="726"/>
      <c r="N4" s="726"/>
      <c r="O4" s="726"/>
      <c r="P4" s="726"/>
      <c r="Q4" s="726"/>
      <c r="R4" s="71"/>
      <c r="S4" s="71"/>
      <c r="T4" s="71"/>
      <c r="U4" s="71"/>
      <c r="V4" s="71"/>
      <c r="W4" s="71"/>
      <c r="X4" s="71"/>
      <c r="Y4" s="71"/>
      <c r="Z4" s="71"/>
    </row>
    <row r="5" spans="1:27" s="59" customFormat="1" ht="48.75" customHeight="1">
      <c r="A5" s="72"/>
      <c r="B5" s="726"/>
      <c r="C5" s="726"/>
      <c r="D5" s="726"/>
      <c r="E5" s="726"/>
      <c r="F5" s="726"/>
      <c r="G5" s="726"/>
      <c r="H5" s="726"/>
      <c r="I5" s="726"/>
      <c r="J5" s="726"/>
      <c r="K5" s="726"/>
      <c r="L5" s="726"/>
      <c r="M5" s="726"/>
      <c r="N5" s="726"/>
      <c r="O5" s="726"/>
      <c r="P5" s="726"/>
      <c r="Q5" s="726"/>
      <c r="R5" s="71"/>
      <c r="S5" s="71"/>
      <c r="T5" s="71"/>
      <c r="U5" s="71"/>
      <c r="V5" s="71"/>
      <c r="W5" s="71"/>
      <c r="X5" s="71"/>
      <c r="Y5" s="71"/>
      <c r="Z5" s="71"/>
    </row>
    <row r="6" spans="1:27" s="66" customFormat="1" ht="11.25" customHeight="1">
      <c r="A6" s="70"/>
      <c r="B6" s="70"/>
      <c r="C6" s="70"/>
      <c r="D6" s="65"/>
      <c r="E6" s="65"/>
      <c r="F6" s="65"/>
      <c r="G6" s="65"/>
      <c r="H6" s="65"/>
      <c r="I6" s="65"/>
      <c r="J6" s="65"/>
      <c r="K6" s="65"/>
      <c r="L6" s="65"/>
      <c r="M6" s="65"/>
      <c r="N6" s="65"/>
      <c r="O6" s="65"/>
      <c r="P6" s="65"/>
      <c r="Q6" s="65"/>
      <c r="R6" s="70"/>
      <c r="S6" s="71"/>
      <c r="T6" s="65"/>
      <c r="U6" s="65"/>
      <c r="V6" s="65"/>
      <c r="W6" s="65"/>
      <c r="X6" s="65"/>
      <c r="Y6" s="65"/>
      <c r="Z6" s="65"/>
      <c r="AA6" s="65"/>
    </row>
    <row r="7" spans="1:27" s="66" customFormat="1" ht="3.75" customHeight="1" thickBot="1">
      <c r="A7" s="271"/>
      <c r="B7" s="271"/>
      <c r="C7" s="271"/>
      <c r="D7" s="274"/>
      <c r="E7" s="274"/>
      <c r="F7" s="274"/>
      <c r="G7" s="274"/>
      <c r="H7" s="274"/>
      <c r="I7" s="274"/>
      <c r="J7" s="274"/>
      <c r="K7" s="274"/>
      <c r="L7" s="274"/>
      <c r="M7" s="274"/>
      <c r="N7" s="274"/>
      <c r="O7" s="274"/>
      <c r="P7" s="274"/>
      <c r="Q7" s="274"/>
      <c r="R7" s="274"/>
      <c r="S7" s="71"/>
      <c r="T7" s="65"/>
      <c r="U7" s="65"/>
      <c r="V7" s="65"/>
      <c r="W7" s="65"/>
      <c r="X7" s="65"/>
      <c r="Y7" s="65"/>
      <c r="Z7" s="65"/>
      <c r="AA7" s="65"/>
    </row>
    <row r="8" spans="1:27" ht="19.5" customHeight="1" thickBot="1">
      <c r="A8" s="273"/>
      <c r="B8" s="274" t="s">
        <v>605</v>
      </c>
      <c r="C8" s="274"/>
      <c r="D8" s="274"/>
      <c r="E8" s="785"/>
      <c r="F8" s="785"/>
      <c r="G8" s="785"/>
      <c r="H8" s="785"/>
      <c r="I8" s="274"/>
      <c r="J8" s="274"/>
      <c r="K8" s="274"/>
      <c r="L8" s="274"/>
      <c r="M8" s="324" t="s">
        <v>607</v>
      </c>
      <c r="N8" s="786"/>
      <c r="O8" s="786"/>
      <c r="P8" s="786"/>
      <c r="Q8" s="786"/>
      <c r="R8" s="327"/>
      <c r="S8" s="71"/>
      <c r="T8" s="65"/>
      <c r="U8" s="65"/>
      <c r="V8" s="65"/>
      <c r="W8" s="65"/>
      <c r="X8" s="65"/>
      <c r="Y8" s="65"/>
      <c r="Z8" s="65"/>
      <c r="AA8" s="65"/>
    </row>
    <row r="9" spans="1:27" ht="19.5" customHeight="1" thickBot="1">
      <c r="A9" s="273">
        <v>1</v>
      </c>
      <c r="B9" s="274" t="s">
        <v>609</v>
      </c>
      <c r="C9" s="274"/>
      <c r="D9" s="274"/>
      <c r="E9" s="787"/>
      <c r="F9" s="787"/>
      <c r="G9" s="787"/>
      <c r="H9" s="787"/>
      <c r="I9" s="274"/>
      <c r="J9" s="274"/>
      <c r="K9" s="274"/>
      <c r="L9" s="274"/>
      <c r="M9" s="324" t="s">
        <v>338</v>
      </c>
      <c r="N9" s="788"/>
      <c r="O9" s="788"/>
      <c r="P9" s="788"/>
      <c r="Q9" s="788"/>
      <c r="R9" s="271"/>
      <c r="S9" s="71"/>
      <c r="T9" s="65"/>
      <c r="U9" s="65"/>
      <c r="V9" s="65"/>
      <c r="W9" s="65"/>
      <c r="X9" s="65"/>
      <c r="Y9" s="65"/>
      <c r="Z9" s="65"/>
      <c r="AA9" s="65"/>
    </row>
    <row r="10" spans="1:27" ht="19.5" customHeight="1" thickBot="1">
      <c r="A10" s="273"/>
      <c r="B10" s="274" t="s">
        <v>610</v>
      </c>
      <c r="C10" s="274"/>
      <c r="D10" s="274"/>
      <c r="E10" s="787"/>
      <c r="F10" s="787"/>
      <c r="G10" s="787"/>
      <c r="H10" s="787"/>
      <c r="I10" s="274"/>
      <c r="J10" s="274"/>
      <c r="K10" s="274"/>
      <c r="L10" s="274"/>
      <c r="M10" s="324" t="s">
        <v>611</v>
      </c>
      <c r="N10" s="789"/>
      <c r="O10" s="789"/>
      <c r="P10" s="789"/>
      <c r="Q10" s="789"/>
      <c r="R10" s="271"/>
      <c r="S10" s="71"/>
      <c r="T10" s="65"/>
      <c r="U10" s="65"/>
      <c r="V10" s="65"/>
      <c r="W10" s="65"/>
      <c r="X10" s="65"/>
      <c r="Y10" s="65"/>
      <c r="Z10" s="65"/>
      <c r="AA10" s="65"/>
    </row>
    <row r="11" spans="1:27" ht="19.5" customHeight="1">
      <c r="A11" s="273">
        <v>2</v>
      </c>
      <c r="B11" s="274" t="s">
        <v>612</v>
      </c>
      <c r="C11" s="274"/>
      <c r="D11" s="274"/>
      <c r="E11" s="666"/>
      <c r="F11" s="666"/>
      <c r="G11" s="666"/>
      <c r="H11" s="666"/>
      <c r="I11" s="274"/>
      <c r="J11" s="274"/>
      <c r="K11" s="274"/>
      <c r="L11" s="274"/>
      <c r="M11" s="274"/>
      <c r="N11" s="274"/>
      <c r="O11" s="274"/>
      <c r="P11" s="274"/>
      <c r="Q11" s="274"/>
      <c r="R11" s="271"/>
      <c r="S11" s="71"/>
      <c r="T11" s="65"/>
      <c r="U11" s="65"/>
      <c r="V11" s="65"/>
      <c r="W11" s="65"/>
      <c r="X11" s="65"/>
      <c r="Y11" s="65"/>
      <c r="Z11" s="65"/>
      <c r="AA11" s="65"/>
    </row>
    <row r="12" spans="1:27" ht="3.75" customHeight="1">
      <c r="A12" s="273"/>
      <c r="B12" s="328"/>
      <c r="C12" s="328"/>
      <c r="D12" s="328"/>
      <c r="E12" s="328"/>
      <c r="F12" s="329"/>
      <c r="G12" s="328"/>
      <c r="H12" s="328"/>
      <c r="I12" s="328"/>
      <c r="J12" s="328"/>
      <c r="K12" s="328"/>
      <c r="L12" s="328"/>
      <c r="M12" s="329"/>
      <c r="N12" s="328"/>
      <c r="O12" s="328"/>
      <c r="P12" s="328"/>
      <c r="Q12" s="328"/>
      <c r="R12" s="271"/>
      <c r="S12" s="71"/>
      <c r="T12" s="765" t="s">
        <v>613</v>
      </c>
      <c r="U12" s="765"/>
      <c r="V12" s="765"/>
      <c r="W12" s="765"/>
      <c r="X12" s="765"/>
      <c r="Y12" s="65"/>
      <c r="Z12" s="65"/>
      <c r="AA12" s="65"/>
    </row>
    <row r="13" spans="1:27" ht="14.25" customHeight="1">
      <c r="A13" s="273"/>
      <c r="B13" s="776" t="s">
        <v>546</v>
      </c>
      <c r="C13" s="777"/>
      <c r="D13" s="777"/>
      <c r="E13" s="777"/>
      <c r="F13" s="777"/>
      <c r="G13" s="777"/>
      <c r="H13" s="777"/>
      <c r="I13" s="777"/>
      <c r="J13" s="780" t="s">
        <v>614</v>
      </c>
      <c r="K13" s="780"/>
      <c r="L13" s="780"/>
      <c r="M13" s="780"/>
      <c r="N13" s="780"/>
      <c r="O13" s="780"/>
      <c r="P13" s="780"/>
      <c r="Q13" s="781"/>
      <c r="R13" s="271"/>
      <c r="S13" s="71"/>
      <c r="T13" s="765"/>
      <c r="U13" s="765"/>
      <c r="V13" s="765"/>
      <c r="W13" s="765"/>
      <c r="X13" s="765"/>
      <c r="Y13" s="65"/>
    </row>
    <row r="14" spans="1:27" ht="24.75" customHeight="1">
      <c r="A14" s="273"/>
      <c r="B14" s="778"/>
      <c r="C14" s="779"/>
      <c r="D14" s="779"/>
      <c r="E14" s="779"/>
      <c r="F14" s="779"/>
      <c r="G14" s="779"/>
      <c r="H14" s="779"/>
      <c r="I14" s="779"/>
      <c r="J14" s="782" t="s">
        <v>244</v>
      </c>
      <c r="K14" s="782"/>
      <c r="L14" s="782" t="s">
        <v>245</v>
      </c>
      <c r="M14" s="782"/>
      <c r="N14" s="782" t="s">
        <v>246</v>
      </c>
      <c r="O14" s="782"/>
      <c r="P14" s="783" t="s">
        <v>615</v>
      </c>
      <c r="Q14" s="784"/>
      <c r="R14" s="271"/>
      <c r="S14" s="71"/>
      <c r="T14" s="69" t="s">
        <v>616</v>
      </c>
      <c r="U14" s="73"/>
      <c r="V14" s="65"/>
      <c r="W14" s="65"/>
      <c r="X14" s="65"/>
      <c r="Y14" s="65"/>
    </row>
    <row r="15" spans="1:27" ht="14.25" customHeight="1">
      <c r="A15" s="273">
        <v>3</v>
      </c>
      <c r="B15" s="755" t="s">
        <v>617</v>
      </c>
      <c r="C15" s="755"/>
      <c r="D15" s="755"/>
      <c r="E15" s="755"/>
      <c r="F15" s="755"/>
      <c r="G15" s="755"/>
      <c r="H15" s="755"/>
      <c r="I15" s="756"/>
      <c r="J15" s="766"/>
      <c r="K15" s="766"/>
      <c r="L15" s="766"/>
      <c r="M15" s="766"/>
      <c r="N15" s="766"/>
      <c r="O15" s="766"/>
      <c r="P15" s="766"/>
      <c r="Q15" s="766"/>
      <c r="R15" s="271"/>
      <c r="S15" s="71"/>
      <c r="T15" s="684"/>
      <c r="U15" s="774"/>
      <c r="V15" s="321" t="s">
        <v>244</v>
      </c>
      <c r="W15" s="321" t="s">
        <v>245</v>
      </c>
      <c r="X15" s="322" t="s">
        <v>246</v>
      </c>
      <c r="Y15" s="65"/>
    </row>
    <row r="16" spans="1:27" ht="14.25" customHeight="1">
      <c r="A16" s="273">
        <v>4</v>
      </c>
      <c r="B16" s="737" t="s">
        <v>618</v>
      </c>
      <c r="C16" s="737"/>
      <c r="D16" s="737"/>
      <c r="E16" s="737"/>
      <c r="F16" s="737"/>
      <c r="G16" s="737"/>
      <c r="H16" s="737"/>
      <c r="I16" s="738"/>
      <c r="J16" s="766"/>
      <c r="K16" s="766"/>
      <c r="L16" s="766"/>
      <c r="M16" s="766"/>
      <c r="N16" s="766"/>
      <c r="O16" s="766"/>
      <c r="P16" s="766"/>
      <c r="Q16" s="766"/>
      <c r="R16" s="271"/>
      <c r="S16" s="71"/>
      <c r="T16" s="775" t="s">
        <v>619</v>
      </c>
      <c r="U16" s="318" t="s">
        <v>620</v>
      </c>
      <c r="V16" s="772">
        <v>1</v>
      </c>
      <c r="W16" s="772">
        <v>1.5</v>
      </c>
      <c r="X16" s="318">
        <v>4.5</v>
      </c>
      <c r="Y16" s="65"/>
    </row>
    <row r="17" spans="1:27" ht="14.25" customHeight="1">
      <c r="A17" s="273">
        <v>5</v>
      </c>
      <c r="B17" s="737" t="s">
        <v>621</v>
      </c>
      <c r="C17" s="737"/>
      <c r="D17" s="737"/>
      <c r="E17" s="737"/>
      <c r="F17" s="737"/>
      <c r="G17" s="737"/>
      <c r="H17" s="737"/>
      <c r="I17" s="738"/>
      <c r="J17" s="748" t="str">
        <f>IFERROR(IF(E8="","",IF('Tables NEW TABLES'!G230="",0,'Tables NEW TABLES'!G230)),"")</f>
        <v/>
      </c>
      <c r="K17" s="748"/>
      <c r="L17" s="748" t="str">
        <f>IFERROR(IF(E8="","",IF('Tables NEW TABLES'!H230="",0,'Tables NEW TABLES'!H230)),"")</f>
        <v/>
      </c>
      <c r="M17" s="748"/>
      <c r="N17" s="773">
        <v>1</v>
      </c>
      <c r="O17" s="773"/>
      <c r="P17" s="773">
        <v>1</v>
      </c>
      <c r="Q17" s="773"/>
      <c r="R17" s="271"/>
      <c r="S17" s="71"/>
      <c r="T17" s="769"/>
      <c r="U17" s="319" t="s">
        <v>622</v>
      </c>
      <c r="V17" s="771"/>
      <c r="W17" s="771"/>
      <c r="X17" s="319">
        <v>2.75</v>
      </c>
      <c r="Y17" s="65"/>
    </row>
    <row r="18" spans="1:27" ht="16.5" customHeight="1">
      <c r="A18" s="273">
        <v>6</v>
      </c>
      <c r="B18" s="740" t="s">
        <v>623</v>
      </c>
      <c r="C18" s="740"/>
      <c r="D18" s="740"/>
      <c r="E18" s="740"/>
      <c r="F18" s="740"/>
      <c r="G18" s="740"/>
      <c r="H18" s="740"/>
      <c r="I18" s="709"/>
      <c r="J18" s="748" t="str">
        <f>IF(J17="","",IF(J16="","",IF(L16="","",(L16+J16)*J17)))</f>
        <v/>
      </c>
      <c r="K18" s="748"/>
      <c r="L18" s="748" t="str">
        <f>IF(L17="","",IF(J16="","",IF(L16="","",(L16+J16)*L17)))</f>
        <v/>
      </c>
      <c r="M18" s="748"/>
      <c r="N18" s="748" t="str">
        <f>IF(N16="","",N16*N17)</f>
        <v/>
      </c>
      <c r="O18" s="748"/>
      <c r="P18" s="748" t="str">
        <f>IF(P16="","",P16*P17)</f>
        <v/>
      </c>
      <c r="Q18" s="748"/>
      <c r="R18" s="271"/>
      <c r="S18" s="71"/>
      <c r="T18" s="768" t="s">
        <v>624</v>
      </c>
      <c r="U18" s="319" t="s">
        <v>620</v>
      </c>
      <c r="V18" s="770">
        <v>1</v>
      </c>
      <c r="W18" s="770">
        <v>1.9</v>
      </c>
      <c r="X18" s="319">
        <v>7.5</v>
      </c>
      <c r="Y18" s="65"/>
    </row>
    <row r="19" spans="1:27" ht="14.25" customHeight="1">
      <c r="A19" s="273">
        <v>7</v>
      </c>
      <c r="B19" s="737" t="s">
        <v>625</v>
      </c>
      <c r="C19" s="737"/>
      <c r="D19" s="737"/>
      <c r="E19" s="737"/>
      <c r="F19" s="737"/>
      <c r="G19" s="737"/>
      <c r="H19" s="737"/>
      <c r="I19" s="738"/>
      <c r="J19" s="752" t="str">
        <f>IF($J15="","",IF(J18="","",J18/$J15))</f>
        <v/>
      </c>
      <c r="K19" s="752"/>
      <c r="L19" s="752" t="str">
        <f>IF($J15="","",IF(L18="","",L18/$J15))</f>
        <v/>
      </c>
      <c r="M19" s="752"/>
      <c r="N19" s="752" t="str">
        <f>IF($J15="","",IF(N18="","",N18/$J15))</f>
        <v/>
      </c>
      <c r="O19" s="752"/>
      <c r="P19" s="752" t="str">
        <f>IF($J15="","",IF(P18="","",P18/$J15))</f>
        <v/>
      </c>
      <c r="Q19" s="752"/>
      <c r="R19" s="271"/>
      <c r="S19" s="71"/>
      <c r="T19" s="769"/>
      <c r="U19" s="319" t="s">
        <v>622</v>
      </c>
      <c r="V19" s="771"/>
      <c r="W19" s="771"/>
      <c r="X19" s="319">
        <v>4.5</v>
      </c>
      <c r="Y19" s="65"/>
    </row>
    <row r="20" spans="1:27" ht="14.25" customHeight="1">
      <c r="A20" s="273">
        <v>8</v>
      </c>
      <c r="B20" s="737" t="s">
        <v>626</v>
      </c>
      <c r="C20" s="737"/>
      <c r="D20" s="737"/>
      <c r="E20" s="737"/>
      <c r="F20" s="737"/>
      <c r="G20" s="737"/>
      <c r="H20" s="737"/>
      <c r="I20" s="738"/>
      <c r="J20" s="752">
        <f ca="1">'Tables NEW TABLES'!C12</f>
        <v>0.83</v>
      </c>
      <c r="K20" s="752"/>
      <c r="L20" s="752"/>
      <c r="M20" s="752"/>
      <c r="N20" s="752"/>
      <c r="O20" s="752"/>
      <c r="P20" s="752"/>
      <c r="Q20" s="752"/>
      <c r="R20" s="271"/>
      <c r="S20" s="71"/>
      <c r="T20" s="768" t="s">
        <v>627</v>
      </c>
      <c r="U20" s="319" t="s">
        <v>620</v>
      </c>
      <c r="V20" s="770">
        <v>1</v>
      </c>
      <c r="W20" s="770">
        <v>2.2999999999999998</v>
      </c>
      <c r="X20" s="319">
        <v>13</v>
      </c>
      <c r="Y20" s="65"/>
    </row>
    <row r="21" spans="1:27" ht="14.25" customHeight="1">
      <c r="A21" s="273">
        <v>9</v>
      </c>
      <c r="B21" s="737" t="s">
        <v>628</v>
      </c>
      <c r="C21" s="737"/>
      <c r="D21" s="737"/>
      <c r="E21" s="737"/>
      <c r="F21" s="737"/>
      <c r="G21" s="737"/>
      <c r="H21" s="737"/>
      <c r="I21" s="738"/>
      <c r="J21" s="767" t="str">
        <f>IF(J19="","",J19*$J20)</f>
        <v/>
      </c>
      <c r="K21" s="767"/>
      <c r="L21" s="767" t="str">
        <f>IF(L19="","",L19*$J20)</f>
        <v/>
      </c>
      <c r="M21" s="767"/>
      <c r="N21" s="767" t="str">
        <f>IF(N19="","",N19*$J20)</f>
        <v/>
      </c>
      <c r="O21" s="767"/>
      <c r="P21" s="767" t="str">
        <f>IF(P19="","",P19*$J20)</f>
        <v/>
      </c>
      <c r="Q21" s="767"/>
      <c r="R21" s="271"/>
      <c r="S21" s="71"/>
      <c r="T21" s="769"/>
      <c r="U21" s="319" t="s">
        <v>622</v>
      </c>
      <c r="V21" s="771"/>
      <c r="W21" s="771"/>
      <c r="X21" s="319">
        <v>7.5</v>
      </c>
      <c r="Y21" s="65"/>
    </row>
    <row r="22" spans="1:27" ht="14.25" customHeight="1">
      <c r="A22" s="273">
        <v>10</v>
      </c>
      <c r="B22" s="737" t="s">
        <v>629</v>
      </c>
      <c r="C22" s="737"/>
      <c r="D22" s="737"/>
      <c r="E22" s="737"/>
      <c r="F22" s="737"/>
      <c r="G22" s="737"/>
      <c r="H22" s="737"/>
      <c r="I22" s="738"/>
      <c r="J22" s="766"/>
      <c r="K22" s="766"/>
      <c r="L22" s="766"/>
      <c r="M22" s="766"/>
      <c r="N22" s="766"/>
      <c r="O22" s="766"/>
      <c r="P22" s="766"/>
      <c r="Q22" s="766"/>
      <c r="R22" s="271"/>
      <c r="S22" s="71"/>
      <c r="T22" s="320" t="s">
        <v>339</v>
      </c>
      <c r="U22" s="319" t="s">
        <v>630</v>
      </c>
      <c r="V22" s="319">
        <v>1</v>
      </c>
      <c r="W22" s="319">
        <v>1.9</v>
      </c>
      <c r="X22" s="319">
        <v>1.9</v>
      </c>
      <c r="Y22" s="65"/>
    </row>
    <row r="23" spans="1:27" ht="14.25" customHeight="1">
      <c r="A23" s="273">
        <v>11</v>
      </c>
      <c r="B23" s="737" t="s">
        <v>631</v>
      </c>
      <c r="C23" s="737"/>
      <c r="D23" s="737"/>
      <c r="E23" s="737"/>
      <c r="F23" s="737"/>
      <c r="G23" s="737"/>
      <c r="H23" s="737"/>
      <c r="I23" s="738"/>
      <c r="J23" s="767" t="str">
        <f>IF(J21="","",J21*J22)</f>
        <v/>
      </c>
      <c r="K23" s="767"/>
      <c r="L23" s="767" t="str">
        <f>IF(L21="","",L21*L22)</f>
        <v/>
      </c>
      <c r="M23" s="767"/>
      <c r="N23" s="767" t="str">
        <f>IF(N21="","",N21*N22)</f>
        <v/>
      </c>
      <c r="O23" s="767"/>
      <c r="P23" s="767" t="str">
        <f>IF(P21="","",P21*P22)</f>
        <v/>
      </c>
      <c r="Q23" s="767"/>
      <c r="R23" s="271"/>
      <c r="S23" s="71"/>
      <c r="T23" s="320" t="s">
        <v>630</v>
      </c>
      <c r="U23" s="319" t="s">
        <v>630</v>
      </c>
      <c r="V23" s="319">
        <v>1</v>
      </c>
      <c r="W23" s="319">
        <v>1.7</v>
      </c>
      <c r="X23" s="319">
        <v>3.6</v>
      </c>
      <c r="Y23" s="65"/>
    </row>
    <row r="24" spans="1:27" ht="14.25" customHeight="1">
      <c r="A24" s="273">
        <v>12</v>
      </c>
      <c r="B24" s="737" t="s">
        <v>632</v>
      </c>
      <c r="C24" s="737"/>
      <c r="D24" s="737"/>
      <c r="E24" s="737"/>
      <c r="F24" s="737"/>
      <c r="G24" s="737"/>
      <c r="H24" s="737"/>
      <c r="I24" s="738"/>
      <c r="J24" s="739" t="str">
        <f xml:space="preserve"> IF($N$8="","",IF($E$8="","",'Tables NEW TABLES'!J159))</f>
        <v/>
      </c>
      <c r="K24" s="739"/>
      <c r="L24" s="739" t="str">
        <f xml:space="preserve"> IF($N$8="","",IF($E$8="","",'Tables NEW TABLES'!J176))</f>
        <v/>
      </c>
      <c r="M24" s="739"/>
      <c r="N24" s="739" t="str">
        <f xml:space="preserve"> IF($N$8="","",IF($E$8="","",'Tables NEW TABLES'!J194))</f>
        <v/>
      </c>
      <c r="O24" s="739"/>
      <c r="P24" s="739" t="str">
        <f xml:space="preserve"> IF($N$8="","",IF($E$8="","",'Tables NEW TABLES'!J211))</f>
        <v/>
      </c>
      <c r="Q24" s="739"/>
      <c r="R24" s="271"/>
      <c r="S24" s="71"/>
      <c r="T24" s="764" t="s">
        <v>633</v>
      </c>
      <c r="U24" s="764"/>
      <c r="V24" s="764"/>
      <c r="W24" s="764"/>
      <c r="X24" s="65"/>
      <c r="Y24" s="65"/>
    </row>
    <row r="25" spans="1:27" ht="14.25" customHeight="1">
      <c r="A25" s="273">
        <v>13</v>
      </c>
      <c r="B25" s="737" t="s">
        <v>634</v>
      </c>
      <c r="C25" s="737"/>
      <c r="D25" s="737"/>
      <c r="E25" s="737"/>
      <c r="F25" s="737"/>
      <c r="G25" s="737"/>
      <c r="H25" s="737"/>
      <c r="I25" s="738"/>
      <c r="J25" s="739" t="str">
        <f xml:space="preserve"> IF($N$8="","",IF($E$8="","",'Tables NEW TABLES'!J88))</f>
        <v/>
      </c>
      <c r="K25" s="739"/>
      <c r="L25" s="739" t="str">
        <f xml:space="preserve"> IF($N$8="","",IF($E$8="","",'Tables NEW TABLES'!J105))</f>
        <v/>
      </c>
      <c r="M25" s="739"/>
      <c r="N25" s="739" t="str">
        <f xml:space="preserve"> IF($N$8="","",IF($E$8="","",'Tables NEW TABLES'!J124))</f>
        <v/>
      </c>
      <c r="O25" s="739"/>
      <c r="P25" s="739" t="str">
        <f xml:space="preserve"> IF($N$8="","",IF($E$8="","",'Tables NEW TABLES'!J141))</f>
        <v/>
      </c>
      <c r="Q25" s="739"/>
      <c r="R25" s="271"/>
      <c r="S25" s="71"/>
      <c r="T25" s="765"/>
      <c r="U25" s="765"/>
      <c r="V25" s="765"/>
      <c r="W25" s="765"/>
      <c r="X25" s="65"/>
      <c r="Y25" s="65"/>
    </row>
    <row r="26" spans="1:27" ht="14.25" customHeight="1">
      <c r="A26" s="273">
        <v>14</v>
      </c>
      <c r="B26" s="737" t="s">
        <v>635</v>
      </c>
      <c r="C26" s="737"/>
      <c r="D26" s="737"/>
      <c r="E26" s="737"/>
      <c r="F26" s="737"/>
      <c r="G26" s="737"/>
      <c r="H26" s="737"/>
      <c r="I26" s="738"/>
      <c r="J26" s="748">
        <f>(E9-50)/50</f>
        <v>-1</v>
      </c>
      <c r="K26" s="748"/>
      <c r="L26" s="748"/>
      <c r="M26" s="748"/>
      <c r="N26" s="748"/>
      <c r="O26" s="748"/>
      <c r="P26" s="748"/>
      <c r="Q26" s="748"/>
      <c r="R26" s="271"/>
      <c r="S26" s="71"/>
      <c r="T26" s="765"/>
      <c r="U26" s="765"/>
      <c r="V26" s="765"/>
      <c r="W26" s="765"/>
      <c r="X26" s="65"/>
      <c r="Y26" s="65"/>
    </row>
    <row r="27" spans="1:27" ht="14.25" customHeight="1">
      <c r="A27" s="273">
        <v>15</v>
      </c>
      <c r="B27" s="737" t="s">
        <v>636</v>
      </c>
      <c r="C27" s="737"/>
      <c r="D27" s="737"/>
      <c r="E27" s="737"/>
      <c r="F27" s="737"/>
      <c r="G27" s="737"/>
      <c r="H27" s="737"/>
      <c r="I27" s="738"/>
      <c r="J27" s="739" t="str">
        <f>IF(J24="","",J25+$J26*(J24-J25))</f>
        <v/>
      </c>
      <c r="K27" s="739"/>
      <c r="L27" s="739" t="str">
        <f>IF(L24="","",L25+$J26*(L24-L25))</f>
        <v/>
      </c>
      <c r="M27" s="739"/>
      <c r="N27" s="739" t="str">
        <f>IF(N24="","",N25+$J26*(N24-N25))</f>
        <v/>
      </c>
      <c r="O27" s="739"/>
      <c r="P27" s="761" t="str">
        <f>IF(P24="","",P25+$J26*(P24-P25))</f>
        <v/>
      </c>
      <c r="Q27" s="761"/>
      <c r="R27" s="271"/>
      <c r="S27" s="71"/>
      <c r="T27" s="82" t="s">
        <v>637</v>
      </c>
      <c r="U27" s="65"/>
      <c r="V27" s="65"/>
      <c r="W27" s="65"/>
      <c r="X27" s="65"/>
      <c r="Y27" s="65"/>
    </row>
    <row r="28" spans="1:27" ht="14.25" customHeight="1">
      <c r="A28" s="273">
        <v>16</v>
      </c>
      <c r="B28" s="737" t="s">
        <v>638</v>
      </c>
      <c r="C28" s="737"/>
      <c r="D28" s="737"/>
      <c r="E28" s="737"/>
      <c r="F28" s="737"/>
      <c r="G28" s="737"/>
      <c r="H28" s="737"/>
      <c r="I28" s="738"/>
      <c r="J28" s="739" t="str">
        <f>IF(J23="","",IF(J27="","",J23*J27))</f>
        <v/>
      </c>
      <c r="K28" s="739"/>
      <c r="L28" s="739" t="str">
        <f>IF(L23="","",IF(L27="","",L23*L27))</f>
        <v/>
      </c>
      <c r="M28" s="739"/>
      <c r="N28" s="739" t="str">
        <f>IF(N23="","",IF(N27="","",N23*N27))</f>
        <v/>
      </c>
      <c r="O28" s="739"/>
      <c r="P28" s="761" t="str">
        <f>IF(P23="","",IF(P27="","",P23*P27))</f>
        <v/>
      </c>
      <c r="Q28" s="761"/>
      <c r="R28" s="271"/>
      <c r="S28" s="71"/>
      <c r="T28" s="323" t="s">
        <v>639</v>
      </c>
      <c r="U28" s="323" t="s">
        <v>640</v>
      </c>
      <c r="V28" s="323" t="s">
        <v>641</v>
      </c>
      <c r="W28" s="323" t="s">
        <v>339</v>
      </c>
      <c r="X28" s="65"/>
      <c r="Y28" s="65"/>
    </row>
    <row r="29" spans="1:27" ht="24.75" customHeight="1">
      <c r="A29" s="273">
        <v>17</v>
      </c>
      <c r="B29" s="753" t="s">
        <v>642</v>
      </c>
      <c r="C29" s="753"/>
      <c r="D29" s="753"/>
      <c r="E29" s="753"/>
      <c r="F29" s="753"/>
      <c r="G29" s="753"/>
      <c r="H29" s="753"/>
      <c r="I29" s="762"/>
      <c r="J29" s="763">
        <f>SUM(J28:Q28)</f>
        <v>0</v>
      </c>
      <c r="K29" s="763"/>
      <c r="L29" s="763"/>
      <c r="M29" s="763"/>
      <c r="N29" s="763"/>
      <c r="O29" s="763"/>
      <c r="P29" s="763"/>
      <c r="Q29" s="763"/>
      <c r="R29" s="271"/>
      <c r="S29" s="71"/>
      <c r="T29" s="753" t="s">
        <v>643</v>
      </c>
      <c r="U29" s="754">
        <v>7</v>
      </c>
      <c r="V29" s="754">
        <v>18.5</v>
      </c>
      <c r="W29" s="754">
        <v>7</v>
      </c>
      <c r="X29" s="65"/>
      <c r="Y29" s="65"/>
    </row>
    <row r="30" spans="1:27" ht="16.5" customHeight="1">
      <c r="A30" s="274"/>
      <c r="B30" s="330" t="s">
        <v>547</v>
      </c>
      <c r="C30" s="330"/>
      <c r="D30" s="330"/>
      <c r="E30" s="330"/>
      <c r="F30" s="330"/>
      <c r="G30" s="330"/>
      <c r="H30" s="330"/>
      <c r="I30" s="330"/>
      <c r="J30" s="330"/>
      <c r="K30" s="330"/>
      <c r="L30" s="330"/>
      <c r="M30" s="330"/>
      <c r="N30" s="330"/>
      <c r="O30" s="330"/>
      <c r="P30" s="330"/>
      <c r="Q30" s="330"/>
      <c r="R30" s="271"/>
      <c r="S30" s="71"/>
      <c r="T30" s="704"/>
      <c r="U30" s="705"/>
      <c r="V30" s="705"/>
      <c r="W30" s="705"/>
      <c r="X30" s="65"/>
      <c r="Y30" s="65"/>
    </row>
    <row r="31" spans="1:27" ht="14.25" customHeight="1">
      <c r="A31" s="273">
        <v>18</v>
      </c>
      <c r="B31" s="755" t="s">
        <v>644</v>
      </c>
      <c r="C31" s="755"/>
      <c r="D31" s="755"/>
      <c r="E31" s="755"/>
      <c r="F31" s="755"/>
      <c r="G31" s="755"/>
      <c r="H31" s="755"/>
      <c r="I31" s="756"/>
      <c r="J31" s="757"/>
      <c r="K31" s="757"/>
      <c r="L31" s="757"/>
      <c r="M31" s="757"/>
      <c r="N31" s="757"/>
      <c r="O31" s="757"/>
      <c r="P31" s="757"/>
      <c r="Q31" s="757"/>
      <c r="R31" s="271"/>
      <c r="S31" s="71"/>
      <c r="T31" s="758" t="s">
        <v>645</v>
      </c>
      <c r="U31" s="759"/>
      <c r="V31" s="759"/>
      <c r="W31" s="759"/>
      <c r="X31" s="760"/>
      <c r="Y31" s="65"/>
    </row>
    <row r="32" spans="1:27" ht="14.25" customHeight="1">
      <c r="A32" s="273">
        <v>19</v>
      </c>
      <c r="B32" s="737" t="s">
        <v>646</v>
      </c>
      <c r="C32" s="737"/>
      <c r="D32" s="737"/>
      <c r="E32" s="737"/>
      <c r="F32" s="737"/>
      <c r="G32" s="737"/>
      <c r="H32" s="737"/>
      <c r="I32" s="738"/>
      <c r="J32" s="751">
        <f>1-J31</f>
        <v>1</v>
      </c>
      <c r="K32" s="751"/>
      <c r="L32" s="751">
        <f>1-L31</f>
        <v>1</v>
      </c>
      <c r="M32" s="751"/>
      <c r="N32" s="751">
        <f t="shared" ref="N32" si="0">1-N31</f>
        <v>1</v>
      </c>
      <c r="O32" s="751"/>
      <c r="P32" s="751">
        <f t="shared" ref="P32" si="1">1-P31</f>
        <v>1</v>
      </c>
      <c r="Q32" s="751"/>
      <c r="R32" s="271"/>
      <c r="S32" s="71"/>
      <c r="T32" s="65"/>
      <c r="U32" s="65"/>
      <c r="V32" s="65"/>
      <c r="W32" s="65"/>
      <c r="X32" s="65"/>
      <c r="Y32" s="65"/>
      <c r="Z32" s="65"/>
      <c r="AA32" s="65"/>
    </row>
    <row r="33" spans="1:27" ht="14.25" customHeight="1">
      <c r="A33" s="273">
        <v>20</v>
      </c>
      <c r="B33" s="737" t="s">
        <v>647</v>
      </c>
      <c r="C33" s="737"/>
      <c r="D33" s="737"/>
      <c r="E33" s="737"/>
      <c r="F33" s="737"/>
      <c r="G33" s="737"/>
      <c r="H33" s="737"/>
      <c r="I33" s="738"/>
      <c r="J33" s="752" t="str">
        <f>IF(J23="","",J23*J32)</f>
        <v/>
      </c>
      <c r="K33" s="752"/>
      <c r="L33" s="752" t="str">
        <f>IF(L23="","",L23*(L32))</f>
        <v/>
      </c>
      <c r="M33" s="752"/>
      <c r="N33" s="752" t="str">
        <f t="shared" ref="N33" si="2">IF(N23="","",N23*(N32))</f>
        <v/>
      </c>
      <c r="O33" s="752"/>
      <c r="P33" s="752" t="str">
        <f t="shared" ref="P33" si="3">IF(P23="","",P23*(P32))</f>
        <v/>
      </c>
      <c r="Q33" s="752"/>
      <c r="R33" s="271"/>
      <c r="S33" s="71"/>
      <c r="T33" s="65"/>
      <c r="U33" s="65"/>
      <c r="V33" s="65"/>
      <c r="W33" s="65"/>
      <c r="X33" s="65"/>
      <c r="Y33" s="65"/>
      <c r="Z33" s="65"/>
      <c r="AA33" s="65"/>
    </row>
    <row r="34" spans="1:27" ht="14.25" customHeight="1">
      <c r="A34" s="273">
        <v>21</v>
      </c>
      <c r="B34" s="737" t="s">
        <v>632</v>
      </c>
      <c r="C34" s="737"/>
      <c r="D34" s="737"/>
      <c r="E34" s="737"/>
      <c r="F34" s="737"/>
      <c r="G34" s="737"/>
      <c r="H34" s="737"/>
      <c r="I34" s="738"/>
      <c r="J34" s="749" t="str">
        <f xml:space="preserve"> IF($N$8="","",IF($E$8="","",'Tables NEW TABLES'!J159))</f>
        <v/>
      </c>
      <c r="K34" s="750"/>
      <c r="L34" s="749" t="str">
        <f xml:space="preserve"> IF($N$8="","",IF($E$8="","",'Tables NEW TABLES'!J176))</f>
        <v/>
      </c>
      <c r="M34" s="750"/>
      <c r="N34" s="749" t="str">
        <f xml:space="preserve"> IF($N$8="","",IF($E$8="","",'Tables NEW TABLES'!J194))</f>
        <v/>
      </c>
      <c r="O34" s="750"/>
      <c r="P34" s="749" t="str">
        <f xml:space="preserve"> IF($N$8="","",IF($E$8="","",'Tables NEW TABLES'!J211))</f>
        <v/>
      </c>
      <c r="Q34" s="750"/>
      <c r="R34" s="271"/>
      <c r="S34" s="71"/>
      <c r="T34" s="65"/>
      <c r="U34" s="65"/>
      <c r="V34" s="65"/>
      <c r="W34" s="65"/>
      <c r="X34" s="65"/>
      <c r="Y34" s="65"/>
      <c r="Z34" s="65"/>
      <c r="AA34" s="65"/>
    </row>
    <row r="35" spans="1:27" ht="14.25" customHeight="1">
      <c r="A35" s="273">
        <v>22</v>
      </c>
      <c r="B35" s="737" t="s">
        <v>634</v>
      </c>
      <c r="C35" s="737"/>
      <c r="D35" s="737"/>
      <c r="E35" s="737"/>
      <c r="F35" s="737"/>
      <c r="G35" s="737"/>
      <c r="H35" s="737"/>
      <c r="I35" s="738"/>
      <c r="J35" s="749" t="str">
        <f xml:space="preserve"> IF($N$8="","",IF($E$8="","",'Tables NEW TABLES'!J88))</f>
        <v/>
      </c>
      <c r="K35" s="750"/>
      <c r="L35" s="749" t="str">
        <f xml:space="preserve"> IF($N$8="","",IF($E$8="","",'Tables NEW TABLES'!J105))</f>
        <v/>
      </c>
      <c r="M35" s="750"/>
      <c r="N35" s="749" t="str">
        <f xml:space="preserve"> IF($N$8="","",IF($E$8="","",'Tables NEW TABLES'!J124))</f>
        <v/>
      </c>
      <c r="O35" s="750"/>
      <c r="P35" s="749" t="str">
        <f xml:space="preserve"> IF($N$8="","",IF($E$8="","",'Tables NEW TABLES'!J141))</f>
        <v/>
      </c>
      <c r="Q35" s="750"/>
      <c r="R35" s="271"/>
      <c r="S35" s="71"/>
      <c r="T35" s="65"/>
      <c r="U35" s="65"/>
      <c r="V35" s="65"/>
      <c r="W35" s="65"/>
      <c r="X35" s="65"/>
      <c r="Y35" s="65"/>
      <c r="Z35" s="65"/>
      <c r="AA35" s="65"/>
    </row>
    <row r="36" spans="1:27" ht="14.25" customHeight="1">
      <c r="A36" s="273">
        <v>23</v>
      </c>
      <c r="B36" s="737" t="s">
        <v>648</v>
      </c>
      <c r="C36" s="737"/>
      <c r="D36" s="737"/>
      <c r="E36" s="737"/>
      <c r="F36" s="737"/>
      <c r="G36" s="737"/>
      <c r="H36" s="737"/>
      <c r="I36" s="738"/>
      <c r="J36" s="748">
        <f>(E11-50)/50</f>
        <v>-1</v>
      </c>
      <c r="K36" s="748"/>
      <c r="L36" s="748"/>
      <c r="M36" s="748"/>
      <c r="N36" s="748"/>
      <c r="O36" s="748"/>
      <c r="P36" s="748"/>
      <c r="Q36" s="748"/>
      <c r="R36" s="271"/>
      <c r="S36" s="71"/>
      <c r="T36" s="65"/>
      <c r="U36" s="65"/>
      <c r="V36" s="65"/>
      <c r="W36" s="65"/>
      <c r="X36" s="65"/>
      <c r="Y36" s="65"/>
      <c r="Z36" s="65"/>
      <c r="AA36" s="65"/>
    </row>
    <row r="37" spans="1:27" ht="14.25" customHeight="1">
      <c r="A37" s="273">
        <v>24</v>
      </c>
      <c r="B37" s="737" t="s">
        <v>649</v>
      </c>
      <c r="C37" s="737"/>
      <c r="D37" s="737"/>
      <c r="E37" s="737"/>
      <c r="F37" s="737"/>
      <c r="G37" s="737"/>
      <c r="H37" s="737"/>
      <c r="I37" s="738"/>
      <c r="J37" s="739" t="str">
        <f>IF(J34="","",J35+$J36*(J34-J35))</f>
        <v/>
      </c>
      <c r="K37" s="739"/>
      <c r="L37" s="739" t="str">
        <f>IF(L34="","",L35+$J36*(L34-L35))</f>
        <v/>
      </c>
      <c r="M37" s="739"/>
      <c r="N37" s="739" t="str">
        <f>IF(N34="","",N35+$J36*(N34-N35))</f>
        <v/>
      </c>
      <c r="O37" s="739"/>
      <c r="P37" s="739" t="str">
        <f>IF(P34="","",P35+$J36*(P34-P35))</f>
        <v/>
      </c>
      <c r="Q37" s="739"/>
      <c r="R37" s="271"/>
      <c r="S37" s="71"/>
      <c r="T37" s="65"/>
      <c r="U37" s="65"/>
      <c r="V37" s="65"/>
      <c r="W37" s="65"/>
      <c r="X37" s="65"/>
      <c r="Y37" s="65"/>
      <c r="Z37" s="65"/>
      <c r="AA37" s="65"/>
    </row>
    <row r="38" spans="1:27" ht="14.25" customHeight="1">
      <c r="A38" s="273">
        <v>25</v>
      </c>
      <c r="B38" s="737" t="s">
        <v>650</v>
      </c>
      <c r="C38" s="737"/>
      <c r="D38" s="737"/>
      <c r="E38" s="737"/>
      <c r="F38" s="737"/>
      <c r="G38" s="737"/>
      <c r="H38" s="737"/>
      <c r="I38" s="738"/>
      <c r="J38" s="739" t="str">
        <f>IF(J37="","",IF(J33="","",J37*J33))</f>
        <v/>
      </c>
      <c r="K38" s="739"/>
      <c r="L38" s="739" t="str">
        <f>IF(L37="","",IF(L33="","",L37*L33))</f>
        <v/>
      </c>
      <c r="M38" s="739"/>
      <c r="N38" s="739" t="str">
        <f>IF(N37="","",IF(N33="","",N37*N33))</f>
        <v/>
      </c>
      <c r="O38" s="739"/>
      <c r="P38" s="739" t="str">
        <f>IF(P37="","",IF(P33="","",P37*P33))</f>
        <v/>
      </c>
      <c r="Q38" s="739"/>
      <c r="R38" s="271"/>
      <c r="S38" s="71"/>
      <c r="T38" s="65"/>
      <c r="U38" s="65"/>
      <c r="V38" s="65"/>
      <c r="W38" s="65"/>
      <c r="X38" s="65"/>
      <c r="Y38" s="65"/>
      <c r="Z38" s="65"/>
      <c r="AA38" s="65"/>
    </row>
    <row r="39" spans="1:27" ht="24.75" customHeight="1">
      <c r="A39" s="273">
        <v>26</v>
      </c>
      <c r="B39" s="740" t="s">
        <v>651</v>
      </c>
      <c r="C39" s="740"/>
      <c r="D39" s="740"/>
      <c r="E39" s="740"/>
      <c r="F39" s="740"/>
      <c r="G39" s="740"/>
      <c r="H39" s="740"/>
      <c r="I39" s="709"/>
      <c r="J39" s="741">
        <f>SUM(J38:Q38)</f>
        <v>0</v>
      </c>
      <c r="K39" s="741"/>
      <c r="L39" s="741"/>
      <c r="M39" s="741"/>
      <c r="N39" s="741"/>
      <c r="O39" s="741"/>
      <c r="P39" s="741"/>
      <c r="Q39" s="741"/>
      <c r="R39" s="271"/>
      <c r="S39" s="71"/>
      <c r="T39" s="65"/>
      <c r="U39" s="65"/>
      <c r="V39" s="65"/>
      <c r="W39" s="65"/>
      <c r="X39" s="65"/>
      <c r="Y39" s="65"/>
      <c r="Z39" s="65"/>
      <c r="AA39" s="65"/>
    </row>
    <row r="40" spans="1:27" ht="14.25" customHeight="1">
      <c r="A40" s="273">
        <v>27</v>
      </c>
      <c r="B40" s="737" t="s">
        <v>652</v>
      </c>
      <c r="C40" s="737"/>
      <c r="D40" s="737"/>
      <c r="E40" s="737"/>
      <c r="F40" s="737"/>
      <c r="G40" s="737"/>
      <c r="H40" s="737"/>
      <c r="I40" s="738"/>
      <c r="J40" s="741">
        <f>J29-J39</f>
        <v>0</v>
      </c>
      <c r="K40" s="741"/>
      <c r="L40" s="741"/>
      <c r="M40" s="741"/>
      <c r="N40" s="741"/>
      <c r="O40" s="741"/>
      <c r="P40" s="741"/>
      <c r="Q40" s="741"/>
      <c r="R40" s="271"/>
      <c r="S40" s="71"/>
      <c r="T40" s="65"/>
      <c r="U40" s="65"/>
      <c r="V40" s="65"/>
      <c r="W40" s="65"/>
      <c r="X40" s="65"/>
      <c r="Y40" s="65"/>
      <c r="Z40" s="65"/>
      <c r="AA40" s="65"/>
    </row>
    <row r="41" spans="1:27" ht="14.25" customHeight="1">
      <c r="A41" s="273">
        <v>28</v>
      </c>
      <c r="B41" s="737" t="s">
        <v>653</v>
      </c>
      <c r="C41" s="737"/>
      <c r="D41" s="737"/>
      <c r="E41" s="737"/>
      <c r="F41" s="737"/>
      <c r="G41" s="737"/>
      <c r="H41" s="737"/>
      <c r="I41" s="738"/>
      <c r="J41" s="741">
        <f>F54*J40</f>
        <v>0</v>
      </c>
      <c r="K41" s="741"/>
      <c r="L41" s="741"/>
      <c r="M41" s="741"/>
      <c r="N41" s="741"/>
      <c r="O41" s="741"/>
      <c r="P41" s="741"/>
      <c r="Q41" s="741"/>
      <c r="R41" s="273"/>
      <c r="S41" s="273" t="s">
        <v>654</v>
      </c>
      <c r="T41" s="620" t="s">
        <v>655</v>
      </c>
      <c r="U41" s="620"/>
      <c r="V41" s="620"/>
      <c r="W41" s="620"/>
      <c r="X41" s="620"/>
      <c r="Y41" s="65"/>
      <c r="Z41" s="65"/>
      <c r="AA41" s="65"/>
    </row>
    <row r="42" spans="1:27" ht="14.25" customHeight="1">
      <c r="A42" s="273"/>
      <c r="B42" s="325"/>
      <c r="C42" s="325"/>
      <c r="D42" s="325"/>
      <c r="E42" s="325"/>
      <c r="F42" s="325"/>
      <c r="G42" s="325"/>
      <c r="H42" s="325"/>
      <c r="I42" s="325"/>
      <c r="J42" s="325"/>
      <c r="K42" s="325"/>
      <c r="L42" s="325"/>
      <c r="M42" s="325"/>
      <c r="N42" s="326"/>
      <c r="O42" s="325"/>
      <c r="P42" s="325"/>
      <c r="Q42" s="324"/>
      <c r="R42" s="271"/>
      <c r="S42" s="71"/>
      <c r="T42" s="65"/>
      <c r="U42" s="65"/>
      <c r="V42" s="65"/>
      <c r="W42" s="65"/>
      <c r="X42" s="65"/>
      <c r="Y42" s="65"/>
      <c r="Z42" s="65"/>
      <c r="AA42" s="65"/>
    </row>
    <row r="43" spans="1:27" ht="14.25" customHeight="1">
      <c r="A43" s="68"/>
      <c r="B43" s="77"/>
      <c r="C43" s="77"/>
      <c r="D43" s="77"/>
      <c r="E43" s="77"/>
      <c r="F43" s="77"/>
      <c r="G43" s="77"/>
      <c r="H43" s="77"/>
      <c r="I43" s="77"/>
      <c r="J43" s="77"/>
      <c r="K43" s="77"/>
      <c r="L43" s="77"/>
      <c r="M43" s="77"/>
      <c r="N43" s="78"/>
      <c r="O43" s="77"/>
      <c r="P43" s="77"/>
      <c r="Q43" s="77"/>
      <c r="R43" s="70"/>
      <c r="S43" s="71"/>
      <c r="T43" s="65"/>
      <c r="U43" s="65"/>
      <c r="V43" s="65"/>
      <c r="W43" s="65"/>
      <c r="X43" s="65"/>
      <c r="Y43" s="65"/>
      <c r="Z43" s="65"/>
      <c r="AA43" s="65"/>
    </row>
    <row r="44" spans="1:27" ht="14.25" hidden="1" customHeight="1">
      <c r="A44" s="68"/>
      <c r="B44" s="77"/>
      <c r="C44" s="77"/>
      <c r="D44" s="77"/>
      <c r="E44" s="77"/>
      <c r="F44" s="77"/>
      <c r="G44" s="77"/>
      <c r="H44" s="77"/>
      <c r="I44" s="77"/>
      <c r="J44" s="77"/>
      <c r="K44" s="77"/>
      <c r="L44" s="77"/>
      <c r="M44" s="77"/>
      <c r="N44" s="78"/>
      <c r="O44" s="77"/>
      <c r="P44" s="77"/>
      <c r="Q44" s="77"/>
      <c r="R44" s="70"/>
      <c r="S44" s="71"/>
      <c r="T44" s="65"/>
      <c r="U44" s="65"/>
      <c r="V44" s="65"/>
      <c r="W44" s="65"/>
      <c r="X44" s="65"/>
      <c r="Y44" s="65"/>
      <c r="Z44" s="65"/>
      <c r="AA44" s="65"/>
    </row>
    <row r="45" spans="1:27" hidden="1">
      <c r="A45" s="68"/>
      <c r="B45" s="65"/>
      <c r="C45" s="65"/>
      <c r="D45" s="65"/>
      <c r="E45" s="65"/>
      <c r="F45" s="389"/>
      <c r="G45" s="389"/>
      <c r="H45" s="389"/>
      <c r="I45" s="389" t="s">
        <v>570</v>
      </c>
      <c r="J45" s="389" t="s">
        <v>475</v>
      </c>
      <c r="K45" s="389"/>
      <c r="L45" s="389"/>
      <c r="M45" s="389"/>
      <c r="N45" s="389"/>
      <c r="O45" s="390" t="s">
        <v>920</v>
      </c>
      <c r="P45" s="389"/>
      <c r="Q45" s="446" t="e">
        <f>J33+L33*(39+780*N44)</f>
        <v>#VALUE!</v>
      </c>
      <c r="R45" s="70"/>
      <c r="S45" s="71"/>
      <c r="T45" s="65"/>
      <c r="U45" s="65"/>
      <c r="V45" s="65"/>
      <c r="W45" s="65"/>
      <c r="X45" s="65"/>
      <c r="Y45" s="65"/>
      <c r="Z45" s="65"/>
      <c r="AA45" s="65"/>
    </row>
    <row r="46" spans="1:27" hidden="1">
      <c r="A46" s="65"/>
      <c r="B46" s="65"/>
      <c r="C46" s="65"/>
      <c r="D46" s="65"/>
      <c r="E46" s="65"/>
      <c r="F46" s="389" t="s">
        <v>656</v>
      </c>
      <c r="G46" s="389"/>
      <c r="H46" s="389"/>
      <c r="I46" s="389">
        <f>J40*(38+780*N10)</f>
        <v>0</v>
      </c>
      <c r="J46" s="389" t="e">
        <f>(J23+L23-(J33+L33))*1.33</f>
        <v>#VALUE!</v>
      </c>
      <c r="K46" s="389"/>
      <c r="L46" s="389"/>
      <c r="M46" s="389"/>
      <c r="N46" s="389"/>
      <c r="O46" s="389"/>
      <c r="P46" s="389"/>
      <c r="R46" s="65"/>
      <c r="S46" s="71"/>
      <c r="T46" s="65"/>
      <c r="U46" s="65"/>
      <c r="V46" s="65"/>
      <c r="W46" s="65"/>
      <c r="X46" s="65"/>
      <c r="Y46" s="65"/>
      <c r="Z46" s="65"/>
      <c r="AA46" s="65"/>
    </row>
    <row r="47" spans="1:27" ht="13.2" hidden="1">
      <c r="A47" s="69"/>
      <c r="B47" s="65"/>
      <c r="C47" s="65"/>
      <c r="D47" s="65"/>
      <c r="E47" s="65"/>
      <c r="F47" s="389"/>
      <c r="G47" s="389"/>
      <c r="H47" s="391"/>
      <c r="I47" s="389"/>
      <c r="J47" s="389"/>
      <c r="K47" s="389"/>
      <c r="L47" s="389"/>
      <c r="M47" s="389"/>
      <c r="N47" s="389"/>
      <c r="O47" s="389"/>
      <c r="P47" s="389"/>
      <c r="R47" s="65"/>
      <c r="U47" s="28"/>
      <c r="X47" s="65"/>
      <c r="Y47" s="65"/>
      <c r="Z47" s="65"/>
      <c r="AA47" s="65"/>
    </row>
    <row r="48" spans="1:27" ht="20.25" hidden="1" customHeight="1">
      <c r="A48" s="69"/>
      <c r="B48" s="317" t="s">
        <v>598</v>
      </c>
      <c r="C48" s="312">
        <f>'SP11-1'!I29</f>
        <v>0.04</v>
      </c>
      <c r="D48" s="65"/>
      <c r="G48" s="65"/>
      <c r="S48" s="71"/>
      <c r="T48" s="65"/>
      <c r="U48" s="65"/>
      <c r="V48" s="65"/>
      <c r="W48" s="65"/>
      <c r="X48" s="65"/>
      <c r="Y48" s="65"/>
      <c r="Z48" s="65"/>
      <c r="AA48" s="65"/>
    </row>
    <row r="49" spans="1:27" ht="13.5" hidden="1" customHeight="1">
      <c r="A49" s="69"/>
      <c r="B49" s="317" t="s">
        <v>599</v>
      </c>
      <c r="C49" s="311">
        <v>1</v>
      </c>
      <c r="D49" s="65"/>
      <c r="G49" s="65"/>
      <c r="S49" s="71"/>
      <c r="T49" s="65"/>
      <c r="U49" s="65"/>
      <c r="V49" s="65"/>
      <c r="W49" s="65"/>
      <c r="X49" s="65"/>
      <c r="Y49" s="65"/>
      <c r="Z49" s="65"/>
      <c r="AA49" s="65"/>
    </row>
    <row r="50" spans="1:27" ht="30.6" hidden="1">
      <c r="A50" s="69"/>
      <c r="B50" s="317" t="str">
        <f>'SP11-1'!B28</f>
        <v>Period of analysis (years)</v>
      </c>
      <c r="C50" s="311">
        <f>'SP11-1'!I28</f>
        <v>0</v>
      </c>
      <c r="D50" s="65"/>
      <c r="E50" s="65"/>
      <c r="F50" s="65"/>
      <c r="G50" s="65"/>
      <c r="P50" s="71"/>
      <c r="R50" s="65"/>
      <c r="S50" s="65"/>
      <c r="T50" s="65"/>
      <c r="U50" s="65"/>
      <c r="V50" s="65"/>
      <c r="W50" s="65"/>
      <c r="X50" s="65"/>
    </row>
    <row r="51" spans="1:27" ht="30.6" hidden="1">
      <c r="A51" s="69"/>
      <c r="B51" s="317" t="s">
        <v>611</v>
      </c>
      <c r="C51" s="313">
        <f>N10</f>
        <v>0</v>
      </c>
      <c r="D51" s="65"/>
      <c r="E51" s="65"/>
      <c r="F51" s="71"/>
      <c r="G51" s="65"/>
      <c r="H51" s="65"/>
      <c r="I51" s="65"/>
      <c r="P51" s="71"/>
      <c r="R51" s="65"/>
      <c r="S51" s="65"/>
      <c r="T51" s="65"/>
      <c r="U51" s="65"/>
      <c r="V51" s="65"/>
      <c r="W51" s="65"/>
      <c r="X51" s="65"/>
    </row>
    <row r="52" spans="1:27" hidden="1">
      <c r="A52" s="69"/>
      <c r="B52" s="65"/>
      <c r="C52" s="65"/>
      <c r="D52" s="65"/>
      <c r="E52" s="65"/>
      <c r="F52" s="71"/>
      <c r="G52" s="65"/>
      <c r="H52" s="65"/>
      <c r="I52" s="65"/>
      <c r="P52" s="71"/>
      <c r="R52" s="65"/>
      <c r="S52" s="65"/>
      <c r="T52" s="65"/>
      <c r="U52" s="65"/>
      <c r="V52" s="65"/>
      <c r="W52" s="65"/>
      <c r="X52" s="65"/>
    </row>
    <row r="53" spans="1:27" ht="65.25" hidden="1" customHeight="1">
      <c r="A53" s="69"/>
      <c r="B53" s="314" t="s">
        <v>142</v>
      </c>
      <c r="C53" s="314" t="s">
        <v>143</v>
      </c>
      <c r="D53" s="314" t="s">
        <v>145</v>
      </c>
      <c r="E53" s="314" t="s">
        <v>144</v>
      </c>
      <c r="F53" s="742" t="s">
        <v>566</v>
      </c>
      <c r="G53" s="743"/>
      <c r="H53" s="65"/>
      <c r="I53" s="65"/>
      <c r="R53" s="71"/>
      <c r="S53" s="65"/>
      <c r="T53" s="65"/>
      <c r="U53" s="65"/>
      <c r="V53" s="65"/>
      <c r="W53" s="65"/>
      <c r="X53" s="65"/>
      <c r="Y53" s="65"/>
      <c r="Z53" s="65"/>
    </row>
    <row r="54" spans="1:27" hidden="1">
      <c r="A54" s="69"/>
      <c r="B54" s="315">
        <f>'Tables NEW TABLES'!K$279</f>
        <v>0.98064352657801512</v>
      </c>
      <c r="C54" s="315">
        <f>(1-(1+C48)^(-C50)) / (LN(1+C48))</f>
        <v>0</v>
      </c>
      <c r="D54" s="315">
        <f>((LN(1+C48))^-2)-(C49*(1+C48)^(C49*(-1))*(LN((1+C48))^-1))-((1+C48)^(C49*(-1))*(LN(1+C48))^-2)</f>
        <v>0.48711671725311589</v>
      </c>
      <c r="E54" s="315">
        <f>((LN(1+C48))^-2)-(C50*(1+C48)^(C50*(-1))*(LN((1+C48))^-1))-((1+C48)^(C50*(-1))*(LN(1+C48))^-2)</f>
        <v>0</v>
      </c>
      <c r="F54" s="744">
        <f>(C54-B54)+((C$51)*(E54-D54))</f>
        <v>-0.98064352657801512</v>
      </c>
      <c r="G54" s="745"/>
      <c r="H54" s="65"/>
      <c r="I54" s="65"/>
      <c r="R54" s="71"/>
      <c r="S54" s="65"/>
      <c r="T54" s="65"/>
      <c r="U54" s="65"/>
      <c r="V54" s="65"/>
      <c r="W54" s="65"/>
      <c r="X54" s="65"/>
      <c r="Y54" s="65"/>
      <c r="Z54" s="65"/>
    </row>
    <row r="55" spans="1:27" hidden="1">
      <c r="A55" s="69"/>
      <c r="B55" s="65"/>
      <c r="C55" s="65"/>
      <c r="D55" s="65"/>
      <c r="E55" s="65"/>
      <c r="F55" s="65"/>
      <c r="G55" s="65"/>
      <c r="H55" s="65"/>
      <c r="I55" s="65"/>
      <c r="R55" s="65"/>
      <c r="S55" s="71"/>
      <c r="T55" s="65"/>
      <c r="U55" s="65"/>
      <c r="V55" s="65"/>
      <c r="W55" s="65"/>
      <c r="X55" s="65"/>
      <c r="Y55" s="65"/>
      <c r="Z55" s="65"/>
      <c r="AA55" s="65"/>
    </row>
    <row r="56" spans="1:27" ht="15.6" hidden="1">
      <c r="A56" s="69"/>
      <c r="B56" s="331" t="s">
        <v>657</v>
      </c>
      <c r="C56"/>
      <c r="D56"/>
      <c r="E56"/>
      <c r="F56"/>
      <c r="G56"/>
      <c r="H56"/>
      <c r="I56"/>
      <c r="J56"/>
      <c r="R56" s="65"/>
      <c r="S56" s="71"/>
      <c r="T56" s="65"/>
      <c r="U56" s="65"/>
      <c r="V56" s="65"/>
      <c r="W56" s="65"/>
      <c r="X56" s="65"/>
      <c r="Y56" s="65"/>
      <c r="Z56" s="65"/>
      <c r="AA56" s="65"/>
    </row>
    <row r="57" spans="1:27" ht="15" hidden="1" customHeight="1" thickBot="1">
      <c r="A57" s="69"/>
      <c r="B57" s="746" t="s">
        <v>658</v>
      </c>
      <c r="C57" s="747" t="s">
        <v>659</v>
      </c>
      <c r="D57" s="747"/>
      <c r="E57" s="747"/>
      <c r="F57" s="747"/>
      <c r="G57" s="747"/>
      <c r="H57" s="747"/>
      <c r="I57" s="747"/>
      <c r="J57" s="747"/>
      <c r="R57" s="65"/>
      <c r="S57" s="71"/>
      <c r="T57" s="65"/>
      <c r="U57" s="65"/>
      <c r="V57" s="65"/>
      <c r="W57" s="65"/>
      <c r="X57" s="65"/>
      <c r="Y57" s="65"/>
      <c r="Z57" s="65"/>
      <c r="AA57" s="65"/>
    </row>
    <row r="58" spans="1:27" ht="14.4" hidden="1" thickBot="1">
      <c r="A58" s="69"/>
      <c r="B58" s="747"/>
      <c r="C58" s="332">
        <v>0</v>
      </c>
      <c r="D58" s="332">
        <v>0.01</v>
      </c>
      <c r="E58" s="332">
        <v>0.02</v>
      </c>
      <c r="F58" s="332">
        <v>0.03</v>
      </c>
      <c r="G58" s="332">
        <v>0.04</v>
      </c>
      <c r="H58" s="332">
        <v>0.05</v>
      </c>
      <c r="I58" s="332">
        <v>0.06</v>
      </c>
      <c r="J58" s="332">
        <v>7.0000000000000007E-2</v>
      </c>
      <c r="R58" s="65"/>
      <c r="S58" s="65"/>
      <c r="T58" s="65"/>
      <c r="U58" s="65"/>
      <c r="V58" s="65"/>
      <c r="W58" s="65"/>
      <c r="X58" s="65"/>
      <c r="Y58" s="65"/>
      <c r="Z58" s="65"/>
      <c r="AA58" s="65"/>
    </row>
    <row r="59" spans="1:27" ht="28.2" hidden="1" thickBot="1">
      <c r="A59" s="69">
        <v>70</v>
      </c>
      <c r="B59" s="333" t="s">
        <v>660</v>
      </c>
      <c r="C59" s="333">
        <v>0.83</v>
      </c>
      <c r="D59" s="333">
        <v>0.86</v>
      </c>
      <c r="E59" s="333">
        <v>0.9</v>
      </c>
      <c r="F59" s="333">
        <v>0.93</v>
      </c>
      <c r="G59" s="333">
        <v>0.96</v>
      </c>
      <c r="H59" s="333">
        <v>0.99</v>
      </c>
      <c r="I59" s="333">
        <v>1.03</v>
      </c>
      <c r="J59" s="333">
        <v>1.06</v>
      </c>
      <c r="R59" s="65"/>
      <c r="S59" s="65"/>
      <c r="T59" s="65"/>
      <c r="U59" s="65"/>
      <c r="V59" s="65"/>
      <c r="W59" s="65"/>
      <c r="X59" s="65"/>
      <c r="Y59" s="65"/>
      <c r="Z59" s="65"/>
      <c r="AA59" s="65"/>
    </row>
    <row r="60" spans="1:27" ht="42" hidden="1" thickBot="1">
      <c r="A60" s="69"/>
      <c r="B60" s="333" t="s">
        <v>661</v>
      </c>
      <c r="C60" s="333">
        <v>0.95</v>
      </c>
      <c r="D60" s="333">
        <v>0.98</v>
      </c>
      <c r="E60" s="333">
        <v>1.02</v>
      </c>
      <c r="F60" s="333">
        <v>1.06</v>
      </c>
      <c r="G60" s="333">
        <v>1.1000000000000001</v>
      </c>
      <c r="H60" s="333">
        <v>1.1399999999999999</v>
      </c>
      <c r="I60" s="333">
        <v>1.17</v>
      </c>
      <c r="J60" s="333">
        <v>1.21</v>
      </c>
      <c r="R60" s="65"/>
      <c r="S60" s="65"/>
      <c r="T60" s="65"/>
      <c r="U60" s="65"/>
      <c r="V60" s="65"/>
      <c r="W60" s="65"/>
      <c r="X60" s="65"/>
      <c r="Y60" s="65"/>
      <c r="Z60" s="65"/>
      <c r="AA60" s="65"/>
    </row>
    <row r="61" spans="1:27" hidden="1">
      <c r="A61" s="69"/>
      <c r="B61" s="65"/>
      <c r="C61" s="65"/>
      <c r="D61" s="65"/>
      <c r="E61" s="65"/>
      <c r="F61" s="65"/>
      <c r="G61" s="65"/>
      <c r="H61" s="65"/>
      <c r="I61" s="65"/>
      <c r="R61" s="65"/>
      <c r="S61" s="65"/>
      <c r="T61" s="65"/>
      <c r="U61" s="65"/>
      <c r="V61" s="65"/>
      <c r="W61" s="65"/>
      <c r="X61" s="65"/>
      <c r="Y61" s="65"/>
      <c r="Z61" s="65"/>
      <c r="AA61" s="65"/>
    </row>
    <row r="62" spans="1:27" ht="13.8" hidden="1" thickBot="1">
      <c r="A62" s="69"/>
      <c r="B62" s="438"/>
      <c r="C62" s="439"/>
      <c r="D62" s="440" t="s">
        <v>779</v>
      </c>
      <c r="E62" s="65"/>
      <c r="F62" s="442" t="s">
        <v>339</v>
      </c>
      <c r="G62" s="439"/>
      <c r="H62" s="65"/>
      <c r="I62" s="65"/>
      <c r="R62" s="65"/>
      <c r="S62" s="65"/>
      <c r="T62" s="65"/>
      <c r="U62" s="65"/>
      <c r="V62" s="65"/>
      <c r="W62" s="65"/>
      <c r="X62" s="65"/>
      <c r="Y62" s="65"/>
      <c r="Z62" s="65"/>
      <c r="AA62" s="65"/>
    </row>
    <row r="63" spans="1:27" ht="13.8" hidden="1" thickBot="1">
      <c r="A63" s="69"/>
      <c r="B63" s="438" t="s">
        <v>785</v>
      </c>
      <c r="C63" s="439">
        <v>1</v>
      </c>
      <c r="D63" s="440" t="s">
        <v>780</v>
      </c>
      <c r="E63" s="65"/>
      <c r="F63" s="442" t="s">
        <v>340</v>
      </c>
      <c r="G63" s="439"/>
      <c r="H63" s="65"/>
      <c r="I63" s="65"/>
      <c r="R63" s="65"/>
      <c r="S63" s="65"/>
      <c r="T63" s="65"/>
      <c r="U63" s="65"/>
      <c r="V63" s="65"/>
      <c r="W63" s="65"/>
      <c r="X63" s="65"/>
      <c r="Y63" s="65"/>
      <c r="Z63" s="65"/>
      <c r="AA63" s="65"/>
    </row>
    <row r="64" spans="1:27" ht="13.8" hidden="1" thickBot="1">
      <c r="A64" s="69"/>
      <c r="B64" s="438" t="s">
        <v>786</v>
      </c>
      <c r="C64" s="439">
        <v>2</v>
      </c>
      <c r="D64" s="440" t="s">
        <v>781</v>
      </c>
      <c r="E64" s="65"/>
      <c r="F64" s="442" t="s">
        <v>341</v>
      </c>
      <c r="G64" s="439"/>
      <c r="H64" s="65"/>
      <c r="I64" s="65"/>
      <c r="R64" s="65"/>
      <c r="S64" s="65"/>
      <c r="T64" s="65"/>
      <c r="U64" s="65"/>
      <c r="V64" s="65"/>
      <c r="W64" s="65"/>
      <c r="X64" s="65"/>
      <c r="Y64" s="65"/>
      <c r="Z64" s="65"/>
      <c r="AA64" s="65"/>
    </row>
    <row r="65" spans="1:27" ht="21" hidden="1" thickBot="1">
      <c r="A65" s="69"/>
      <c r="B65" s="438" t="s">
        <v>606</v>
      </c>
      <c r="C65" s="439">
        <v>3</v>
      </c>
      <c r="D65" s="440" t="s">
        <v>782</v>
      </c>
      <c r="E65" s="65"/>
      <c r="F65" s="442" t="s">
        <v>342</v>
      </c>
      <c r="G65" s="439"/>
      <c r="H65" s="65"/>
      <c r="I65" s="65"/>
      <c r="R65" s="65"/>
      <c r="S65" s="65"/>
      <c r="T65" s="65"/>
      <c r="U65" s="65"/>
      <c r="V65" s="65"/>
      <c r="W65" s="65"/>
      <c r="X65" s="65"/>
      <c r="Y65" s="65"/>
      <c r="Z65" s="65"/>
      <c r="AA65" s="65"/>
    </row>
    <row r="66" spans="1:27" ht="21" hidden="1" thickBot="1">
      <c r="A66" s="69"/>
      <c r="B66" s="438" t="s">
        <v>787</v>
      </c>
      <c r="C66" s="439">
        <v>4</v>
      </c>
      <c r="D66" s="440" t="s">
        <v>789</v>
      </c>
      <c r="E66" s="65"/>
      <c r="F66" s="442" t="s">
        <v>343</v>
      </c>
      <c r="G66" s="439"/>
      <c r="H66" s="65"/>
      <c r="I66" s="65"/>
      <c r="R66" s="65"/>
      <c r="S66" s="65"/>
      <c r="T66" s="65"/>
      <c r="U66" s="65"/>
      <c r="V66" s="65"/>
      <c r="W66" s="65"/>
      <c r="X66" s="65"/>
      <c r="Y66" s="65"/>
      <c r="Z66" s="65"/>
      <c r="AA66" s="65"/>
    </row>
    <row r="67" spans="1:27" ht="21" hidden="1" thickBot="1">
      <c r="A67" s="69"/>
      <c r="B67" s="438" t="s">
        <v>788</v>
      </c>
      <c r="C67" s="439">
        <v>5</v>
      </c>
      <c r="D67" s="440" t="s">
        <v>608</v>
      </c>
      <c r="E67" s="65"/>
      <c r="F67" s="65"/>
      <c r="G67" s="65"/>
      <c r="H67" s="65"/>
      <c r="I67" s="65"/>
      <c r="R67" s="65"/>
      <c r="S67" s="65"/>
      <c r="T67" s="65"/>
      <c r="U67" s="65"/>
      <c r="V67" s="65"/>
      <c r="W67" s="65"/>
      <c r="X67" s="65"/>
      <c r="Y67" s="65"/>
      <c r="Z67" s="65"/>
      <c r="AA67" s="65"/>
    </row>
    <row r="68" spans="1:27" ht="13.2" hidden="1" thickBot="1">
      <c r="A68" s="69"/>
      <c r="B68" s="438" t="s">
        <v>790</v>
      </c>
      <c r="C68" s="439">
        <v>6</v>
      </c>
      <c r="D68" s="441"/>
      <c r="E68" s="65"/>
      <c r="F68" s="65"/>
      <c r="G68" s="65"/>
      <c r="H68" s="65"/>
      <c r="I68" s="65"/>
      <c r="R68" s="65"/>
      <c r="S68" s="65"/>
      <c r="T68" s="65"/>
      <c r="U68" s="65"/>
      <c r="V68" s="65"/>
      <c r="W68" s="65"/>
      <c r="X68" s="65"/>
      <c r="Y68" s="65"/>
      <c r="Z68" s="65"/>
      <c r="AA68" s="65"/>
    </row>
    <row r="69" spans="1:27" ht="13.2" hidden="1" thickBot="1">
      <c r="A69" s="69"/>
      <c r="B69" s="438" t="s">
        <v>620</v>
      </c>
      <c r="C69" s="439">
        <v>7</v>
      </c>
      <c r="D69" s="736"/>
      <c r="E69" s="65"/>
      <c r="F69" s="65"/>
      <c r="G69" s="65"/>
      <c r="H69" s="65"/>
      <c r="I69" s="65"/>
      <c r="R69" s="65"/>
      <c r="S69" s="65"/>
      <c r="T69" s="65"/>
      <c r="U69" s="65"/>
      <c r="V69" s="65"/>
      <c r="W69" s="65"/>
      <c r="X69" s="65"/>
      <c r="Y69" s="65"/>
      <c r="Z69" s="65"/>
      <c r="AA69" s="65"/>
    </row>
    <row r="70" spans="1:27" ht="21" hidden="1" thickBot="1">
      <c r="B70" s="438" t="s">
        <v>791</v>
      </c>
      <c r="C70" s="439">
        <v>8</v>
      </c>
      <c r="D70" s="736"/>
      <c r="T70" s="65"/>
      <c r="U70" s="65"/>
      <c r="V70" s="65"/>
      <c r="W70" s="65"/>
      <c r="X70" s="65"/>
      <c r="Y70" s="65"/>
      <c r="Z70" s="65"/>
      <c r="AA70" s="65"/>
    </row>
    <row r="71" spans="1:27" ht="21" hidden="1" thickBot="1">
      <c r="B71" s="438" t="s">
        <v>792</v>
      </c>
      <c r="C71" s="439">
        <v>9</v>
      </c>
      <c r="D71" s="439"/>
      <c r="T71" s="65"/>
      <c r="U71" s="65"/>
      <c r="V71" s="65"/>
      <c r="W71" s="65"/>
      <c r="X71" s="65"/>
      <c r="Y71" s="65"/>
      <c r="Z71" s="65"/>
      <c r="AA71" s="65"/>
    </row>
    <row r="72" spans="1:27" ht="21" hidden="1" thickBot="1">
      <c r="B72" s="438" t="s">
        <v>793</v>
      </c>
      <c r="C72" s="439">
        <v>10</v>
      </c>
      <c r="D72" s="439"/>
      <c r="T72" s="65"/>
      <c r="U72" s="65"/>
      <c r="V72" s="65"/>
      <c r="W72" s="65"/>
      <c r="X72" s="65"/>
      <c r="Y72" s="65"/>
      <c r="Z72" s="65"/>
      <c r="AA72" s="65"/>
    </row>
    <row r="73" spans="1:27" ht="21" hidden="1" thickBot="1">
      <c r="B73" s="438" t="s">
        <v>794</v>
      </c>
      <c r="C73" s="439">
        <v>11</v>
      </c>
      <c r="D73" s="439"/>
      <c r="T73" s="65"/>
      <c r="U73" s="65"/>
      <c r="V73" s="65"/>
      <c r="W73" s="65"/>
      <c r="X73" s="65"/>
      <c r="Y73" s="65"/>
      <c r="Z73" s="65"/>
      <c r="AA73" s="65"/>
    </row>
    <row r="74" spans="1:27" ht="21" hidden="1" thickBot="1">
      <c r="B74" s="438" t="s">
        <v>795</v>
      </c>
      <c r="C74" s="439">
        <v>12</v>
      </c>
      <c r="D74" s="439"/>
      <c r="T74" s="65"/>
      <c r="U74" s="65"/>
      <c r="V74" s="65"/>
      <c r="W74" s="65"/>
      <c r="X74" s="65"/>
      <c r="Y74" s="65"/>
      <c r="Z74" s="65"/>
      <c r="AA74" s="65"/>
    </row>
    <row r="75" spans="1:27" ht="21" hidden="1" thickBot="1">
      <c r="B75" s="438" t="s">
        <v>643</v>
      </c>
      <c r="C75" s="439">
        <v>13</v>
      </c>
      <c r="D75" s="439"/>
      <c r="T75" s="65"/>
      <c r="U75" s="65"/>
      <c r="V75" s="65"/>
      <c r="W75" s="65"/>
      <c r="X75" s="65"/>
      <c r="Y75" s="65"/>
      <c r="Z75" s="65"/>
      <c r="AA75" s="65"/>
    </row>
    <row r="76" spans="1:27" hidden="1">
      <c r="T76" s="65"/>
      <c r="U76" s="65"/>
      <c r="V76" s="65"/>
      <c r="W76" s="65"/>
      <c r="X76" s="65"/>
      <c r="Y76" s="65"/>
      <c r="Z76" s="65"/>
      <c r="AA76" s="65"/>
    </row>
    <row r="77" spans="1:27" hidden="1">
      <c r="T77" s="65"/>
      <c r="U77" s="65"/>
      <c r="V77" s="65"/>
      <c r="W77" s="65"/>
      <c r="X77" s="65"/>
      <c r="Y77" s="65"/>
      <c r="Z77" s="65"/>
      <c r="AA77" s="65"/>
    </row>
    <row r="78" spans="1:27" hidden="1">
      <c r="T78" s="65"/>
      <c r="U78" s="65"/>
      <c r="V78" s="65"/>
      <c r="W78" s="65"/>
      <c r="X78" s="65"/>
      <c r="Y78" s="65"/>
      <c r="Z78" s="65"/>
      <c r="AA78" s="65"/>
    </row>
    <row r="79" spans="1:27">
      <c r="T79" s="65"/>
      <c r="U79" s="65"/>
      <c r="V79" s="65"/>
      <c r="W79" s="65"/>
      <c r="X79" s="65"/>
      <c r="Y79" s="65"/>
      <c r="Z79" s="65"/>
      <c r="AA79" s="65"/>
    </row>
    <row r="80" spans="1:27">
      <c r="T80" s="65"/>
      <c r="U80" s="65"/>
      <c r="V80" s="65"/>
      <c r="W80" s="65"/>
      <c r="X80" s="65"/>
      <c r="Y80" s="65"/>
      <c r="Z80" s="65"/>
      <c r="AA80" s="65"/>
    </row>
    <row r="81" spans="20:27">
      <c r="T81" s="65"/>
      <c r="U81" s="65"/>
      <c r="V81" s="65"/>
      <c r="W81" s="65"/>
      <c r="X81" s="65"/>
      <c r="Y81" s="65"/>
      <c r="Z81" s="65"/>
      <c r="AA81" s="65"/>
    </row>
    <row r="82" spans="20:27">
      <c r="T82" s="65"/>
      <c r="U82" s="65"/>
      <c r="V82" s="65"/>
      <c r="W82" s="65"/>
      <c r="X82" s="65"/>
      <c r="Y82" s="65"/>
      <c r="Z82" s="65"/>
      <c r="AA82" s="65"/>
    </row>
    <row r="83" spans="20:27">
      <c r="T83" s="65"/>
      <c r="U83" s="65"/>
      <c r="V83" s="65"/>
      <c r="W83" s="65"/>
      <c r="X83" s="65"/>
      <c r="Y83" s="65"/>
      <c r="Z83" s="65"/>
      <c r="AA83" s="65"/>
    </row>
    <row r="84" spans="20:27">
      <c r="T84" s="65"/>
      <c r="U84" s="65"/>
      <c r="V84" s="65"/>
      <c r="W84" s="65"/>
      <c r="X84" s="65"/>
      <c r="Y84" s="65"/>
      <c r="Z84" s="65"/>
      <c r="AA84" s="65"/>
    </row>
  </sheetData>
  <sheetProtection algorithmName="SHA-512" hashValue="glb++zuAIdpjzACYRw9HtRUsaZ8CpNEvTfuzDEOi7WOe1yWnSCUwNQryTptlgzVt40RaxjAs6LBg7QkEB3h4Cw==" saltValue="sZTqm04Ia9g/Y5rv5u+BCQ==" spinCount="100000" sheet="1" objects="1" scenarios="1"/>
  <protectedRanges>
    <protectedRange sqref="E43:F44" name="Range15_1_1"/>
    <protectedRange sqref="L42:M44" name="Range14_1_1"/>
    <protectedRange sqref="C8:D9 M12:M13 R28 J8 K8:M9 I9:J9 R8:R13" name="Range1_1_2"/>
    <protectedRange sqref="R22" name="Range3_1"/>
    <protectedRange sqref="R24:R27 R31" name="Range5_1"/>
    <protectedRange sqref="O8:Q10" name="Range1_1_1"/>
    <protectedRange sqref="E40:F42" name="Range15_1"/>
    <protectedRange sqref="F28:I28 G33:I33" name="Range5_1_1"/>
    <protectedRange sqref="E37:G37" name="Range10_1_1"/>
    <protectedRange sqref="E9:H11" name="Range1_1_1_1"/>
    <protectedRange sqref="E8:H8" name="Range1_1_1_2"/>
  </protectedRanges>
  <mergeCells count="143">
    <mergeCell ref="E11:H11"/>
    <mergeCell ref="T12:X13"/>
    <mergeCell ref="B13:I14"/>
    <mergeCell ref="J13:Q13"/>
    <mergeCell ref="J14:K14"/>
    <mergeCell ref="L14:M14"/>
    <mergeCell ref="N14:O14"/>
    <mergeCell ref="P14:Q14"/>
    <mergeCell ref="B4:Q5"/>
    <mergeCell ref="E8:H8"/>
    <mergeCell ref="N8:Q8"/>
    <mergeCell ref="E9:H9"/>
    <mergeCell ref="N9:Q9"/>
    <mergeCell ref="E10:H10"/>
    <mergeCell ref="N10:Q10"/>
    <mergeCell ref="V16:V17"/>
    <mergeCell ref="W16:W17"/>
    <mergeCell ref="B17:I17"/>
    <mergeCell ref="J17:K17"/>
    <mergeCell ref="L17:M17"/>
    <mergeCell ref="N17:O17"/>
    <mergeCell ref="P17:Q17"/>
    <mergeCell ref="B15:I15"/>
    <mergeCell ref="J15:Q15"/>
    <mergeCell ref="T15:U15"/>
    <mergeCell ref="B16:I16"/>
    <mergeCell ref="J16:K16"/>
    <mergeCell ref="L16:M16"/>
    <mergeCell ref="N16:O16"/>
    <mergeCell ref="P16:Q16"/>
    <mergeCell ref="T16:T17"/>
    <mergeCell ref="V18:V19"/>
    <mergeCell ref="W18:W19"/>
    <mergeCell ref="B19:I19"/>
    <mergeCell ref="J19:K19"/>
    <mergeCell ref="L19:M19"/>
    <mergeCell ref="N19:O19"/>
    <mergeCell ref="P19:Q19"/>
    <mergeCell ref="B18:I18"/>
    <mergeCell ref="J18:K18"/>
    <mergeCell ref="L18:M18"/>
    <mergeCell ref="N18:O18"/>
    <mergeCell ref="P18:Q18"/>
    <mergeCell ref="T18:T19"/>
    <mergeCell ref="B20:I20"/>
    <mergeCell ref="J20:Q20"/>
    <mergeCell ref="T20:T21"/>
    <mergeCell ref="V20:V21"/>
    <mergeCell ref="W20:W21"/>
    <mergeCell ref="B21:I21"/>
    <mergeCell ref="J21:K21"/>
    <mergeCell ref="L21:M21"/>
    <mergeCell ref="N21:O21"/>
    <mergeCell ref="P21:Q21"/>
    <mergeCell ref="B22:I22"/>
    <mergeCell ref="J22:K22"/>
    <mergeCell ref="L22:M22"/>
    <mergeCell ref="N22:O22"/>
    <mergeCell ref="P22:Q22"/>
    <mergeCell ref="B23:I23"/>
    <mergeCell ref="J23:K23"/>
    <mergeCell ref="L23:M23"/>
    <mergeCell ref="N23:O23"/>
    <mergeCell ref="P23:Q23"/>
    <mergeCell ref="B24:I24"/>
    <mergeCell ref="J24:K24"/>
    <mergeCell ref="L24:M24"/>
    <mergeCell ref="N24:O24"/>
    <mergeCell ref="P24:Q24"/>
    <mergeCell ref="T24:W26"/>
    <mergeCell ref="B25:I25"/>
    <mergeCell ref="J25:K25"/>
    <mergeCell ref="L25:M25"/>
    <mergeCell ref="N25:O25"/>
    <mergeCell ref="B28:I28"/>
    <mergeCell ref="J28:K28"/>
    <mergeCell ref="L28:M28"/>
    <mergeCell ref="N28:O28"/>
    <mergeCell ref="P28:Q28"/>
    <mergeCell ref="B29:I29"/>
    <mergeCell ref="J29:Q29"/>
    <mergeCell ref="P25:Q25"/>
    <mergeCell ref="B26:I26"/>
    <mergeCell ref="J26:Q26"/>
    <mergeCell ref="B27:I27"/>
    <mergeCell ref="J27:K27"/>
    <mergeCell ref="L27:M27"/>
    <mergeCell ref="N27:O27"/>
    <mergeCell ref="P27:Q27"/>
    <mergeCell ref="T29:T30"/>
    <mergeCell ref="U29:U30"/>
    <mergeCell ref="V29:V30"/>
    <mergeCell ref="W29:W30"/>
    <mergeCell ref="B31:I31"/>
    <mergeCell ref="J31:K31"/>
    <mergeCell ref="L31:M31"/>
    <mergeCell ref="N31:O31"/>
    <mergeCell ref="P31:Q31"/>
    <mergeCell ref="T31:X31"/>
    <mergeCell ref="B32:I32"/>
    <mergeCell ref="J32:K32"/>
    <mergeCell ref="L32:M32"/>
    <mergeCell ref="N32:O32"/>
    <mergeCell ref="P32:Q32"/>
    <mergeCell ref="B33:I33"/>
    <mergeCell ref="J33:K33"/>
    <mergeCell ref="L33:M33"/>
    <mergeCell ref="N33:O33"/>
    <mergeCell ref="P33:Q33"/>
    <mergeCell ref="B34:I34"/>
    <mergeCell ref="J34:K34"/>
    <mergeCell ref="L34:M34"/>
    <mergeCell ref="N34:O34"/>
    <mergeCell ref="P34:Q34"/>
    <mergeCell ref="B35:I35"/>
    <mergeCell ref="J35:K35"/>
    <mergeCell ref="L35:M35"/>
    <mergeCell ref="N35:O35"/>
    <mergeCell ref="P35:Q35"/>
    <mergeCell ref="B36:I36"/>
    <mergeCell ref="J36:Q36"/>
    <mergeCell ref="B37:I37"/>
    <mergeCell ref="J37:K37"/>
    <mergeCell ref="L37:M37"/>
    <mergeCell ref="N37:O37"/>
    <mergeCell ref="P37:Q37"/>
    <mergeCell ref="B40:I40"/>
    <mergeCell ref="J40:Q40"/>
    <mergeCell ref="D69:D70"/>
    <mergeCell ref="T41:X41"/>
    <mergeCell ref="B38:I38"/>
    <mergeCell ref="J38:K38"/>
    <mergeCell ref="L38:M38"/>
    <mergeCell ref="N38:O38"/>
    <mergeCell ref="P38:Q38"/>
    <mergeCell ref="B39:I39"/>
    <mergeCell ref="J39:Q39"/>
    <mergeCell ref="F53:G53"/>
    <mergeCell ref="F54:G54"/>
    <mergeCell ref="B57:B58"/>
    <mergeCell ref="C57:J57"/>
    <mergeCell ref="B41:I41"/>
    <mergeCell ref="J41:Q41"/>
  </mergeCells>
  <dataValidations count="7">
    <dataValidation type="decimal" operator="lessThanOrEqual" allowBlank="1" showInputMessage="1" showErrorMessage="1" error="Traffic growth cannot be greater than 7%  per annum" sqref="N10:Q10 JJ10:JM10 TF10:TI10 ADB10:ADE10 AMX10:ANA10 AWT10:AWW10 BGP10:BGS10 BQL10:BQO10 CAH10:CAK10 CKD10:CKG10 CTZ10:CUC10 DDV10:DDY10 DNR10:DNU10 DXN10:DXQ10 EHJ10:EHM10 ERF10:ERI10 FBB10:FBE10 FKX10:FLA10 FUT10:FUW10 GEP10:GES10 GOL10:GOO10 GYH10:GYK10 HID10:HIG10 HRZ10:HSC10 IBV10:IBY10 ILR10:ILU10 IVN10:IVQ10 JFJ10:JFM10 JPF10:JPI10 JZB10:JZE10 KIX10:KJA10 KST10:KSW10 LCP10:LCS10 LML10:LMO10 LWH10:LWK10 MGD10:MGG10 MPZ10:MQC10 MZV10:MZY10 NJR10:NJU10 NTN10:NTQ10 ODJ10:ODM10 ONF10:ONI10 OXB10:OXE10 PGX10:PHA10 PQT10:PQW10 QAP10:QAS10 QKL10:QKO10 QUH10:QUK10 RED10:REG10 RNZ10:ROC10 RXV10:RXY10 SHR10:SHU10 SRN10:SRQ10 TBJ10:TBM10 TLF10:TLI10 TVB10:TVE10 UEX10:UFA10 UOT10:UOW10 UYP10:UYS10 VIL10:VIO10 VSH10:VSK10 WCD10:WCG10 WLZ10:WMC10 WVV10:WVY10 N65532:Q65532 JJ65547:JM65547 TF65547:TI65547 ADB65547:ADE65547 AMX65547:ANA65547 AWT65547:AWW65547 BGP65547:BGS65547 BQL65547:BQO65547 CAH65547:CAK65547 CKD65547:CKG65547 CTZ65547:CUC65547 DDV65547:DDY65547 DNR65547:DNU65547 DXN65547:DXQ65547 EHJ65547:EHM65547 ERF65547:ERI65547 FBB65547:FBE65547 FKX65547:FLA65547 FUT65547:FUW65547 GEP65547:GES65547 GOL65547:GOO65547 GYH65547:GYK65547 HID65547:HIG65547 HRZ65547:HSC65547 IBV65547:IBY65547 ILR65547:ILU65547 IVN65547:IVQ65547 JFJ65547:JFM65547 JPF65547:JPI65547 JZB65547:JZE65547 KIX65547:KJA65547 KST65547:KSW65547 LCP65547:LCS65547 LML65547:LMO65547 LWH65547:LWK65547 MGD65547:MGG65547 MPZ65547:MQC65547 MZV65547:MZY65547 NJR65547:NJU65547 NTN65547:NTQ65547 ODJ65547:ODM65547 ONF65547:ONI65547 OXB65547:OXE65547 PGX65547:PHA65547 PQT65547:PQW65547 QAP65547:QAS65547 QKL65547:QKO65547 QUH65547:QUK65547 RED65547:REG65547 RNZ65547:ROC65547 RXV65547:RXY65547 SHR65547:SHU65547 SRN65547:SRQ65547 TBJ65547:TBM65547 TLF65547:TLI65547 TVB65547:TVE65547 UEX65547:UFA65547 UOT65547:UOW65547 UYP65547:UYS65547 VIL65547:VIO65547 VSH65547:VSK65547 WCD65547:WCG65547 WLZ65547:WMC65547 WVV65547:WVY65547 N131068:Q131068 JJ131083:JM131083 TF131083:TI131083 ADB131083:ADE131083 AMX131083:ANA131083 AWT131083:AWW131083 BGP131083:BGS131083 BQL131083:BQO131083 CAH131083:CAK131083 CKD131083:CKG131083 CTZ131083:CUC131083 DDV131083:DDY131083 DNR131083:DNU131083 DXN131083:DXQ131083 EHJ131083:EHM131083 ERF131083:ERI131083 FBB131083:FBE131083 FKX131083:FLA131083 FUT131083:FUW131083 GEP131083:GES131083 GOL131083:GOO131083 GYH131083:GYK131083 HID131083:HIG131083 HRZ131083:HSC131083 IBV131083:IBY131083 ILR131083:ILU131083 IVN131083:IVQ131083 JFJ131083:JFM131083 JPF131083:JPI131083 JZB131083:JZE131083 KIX131083:KJA131083 KST131083:KSW131083 LCP131083:LCS131083 LML131083:LMO131083 LWH131083:LWK131083 MGD131083:MGG131083 MPZ131083:MQC131083 MZV131083:MZY131083 NJR131083:NJU131083 NTN131083:NTQ131083 ODJ131083:ODM131083 ONF131083:ONI131083 OXB131083:OXE131083 PGX131083:PHA131083 PQT131083:PQW131083 QAP131083:QAS131083 QKL131083:QKO131083 QUH131083:QUK131083 RED131083:REG131083 RNZ131083:ROC131083 RXV131083:RXY131083 SHR131083:SHU131083 SRN131083:SRQ131083 TBJ131083:TBM131083 TLF131083:TLI131083 TVB131083:TVE131083 UEX131083:UFA131083 UOT131083:UOW131083 UYP131083:UYS131083 VIL131083:VIO131083 VSH131083:VSK131083 WCD131083:WCG131083 WLZ131083:WMC131083 WVV131083:WVY131083 N196604:Q196604 JJ196619:JM196619 TF196619:TI196619 ADB196619:ADE196619 AMX196619:ANA196619 AWT196619:AWW196619 BGP196619:BGS196619 BQL196619:BQO196619 CAH196619:CAK196619 CKD196619:CKG196619 CTZ196619:CUC196619 DDV196619:DDY196619 DNR196619:DNU196619 DXN196619:DXQ196619 EHJ196619:EHM196619 ERF196619:ERI196619 FBB196619:FBE196619 FKX196619:FLA196619 FUT196619:FUW196619 GEP196619:GES196619 GOL196619:GOO196619 GYH196619:GYK196619 HID196619:HIG196619 HRZ196619:HSC196619 IBV196619:IBY196619 ILR196619:ILU196619 IVN196619:IVQ196619 JFJ196619:JFM196619 JPF196619:JPI196619 JZB196619:JZE196619 KIX196619:KJA196619 KST196619:KSW196619 LCP196619:LCS196619 LML196619:LMO196619 LWH196619:LWK196619 MGD196619:MGG196619 MPZ196619:MQC196619 MZV196619:MZY196619 NJR196619:NJU196619 NTN196619:NTQ196619 ODJ196619:ODM196619 ONF196619:ONI196619 OXB196619:OXE196619 PGX196619:PHA196619 PQT196619:PQW196619 QAP196619:QAS196619 QKL196619:QKO196619 QUH196619:QUK196619 RED196619:REG196619 RNZ196619:ROC196619 RXV196619:RXY196619 SHR196619:SHU196619 SRN196619:SRQ196619 TBJ196619:TBM196619 TLF196619:TLI196619 TVB196619:TVE196619 UEX196619:UFA196619 UOT196619:UOW196619 UYP196619:UYS196619 VIL196619:VIO196619 VSH196619:VSK196619 WCD196619:WCG196619 WLZ196619:WMC196619 WVV196619:WVY196619 N262140:Q262140 JJ262155:JM262155 TF262155:TI262155 ADB262155:ADE262155 AMX262155:ANA262155 AWT262155:AWW262155 BGP262155:BGS262155 BQL262155:BQO262155 CAH262155:CAK262155 CKD262155:CKG262155 CTZ262155:CUC262155 DDV262155:DDY262155 DNR262155:DNU262155 DXN262155:DXQ262155 EHJ262155:EHM262155 ERF262155:ERI262155 FBB262155:FBE262155 FKX262155:FLA262155 FUT262155:FUW262155 GEP262155:GES262155 GOL262155:GOO262155 GYH262155:GYK262155 HID262155:HIG262155 HRZ262155:HSC262155 IBV262155:IBY262155 ILR262155:ILU262155 IVN262155:IVQ262155 JFJ262155:JFM262155 JPF262155:JPI262155 JZB262155:JZE262155 KIX262155:KJA262155 KST262155:KSW262155 LCP262155:LCS262155 LML262155:LMO262155 LWH262155:LWK262155 MGD262155:MGG262155 MPZ262155:MQC262155 MZV262155:MZY262155 NJR262155:NJU262155 NTN262155:NTQ262155 ODJ262155:ODM262155 ONF262155:ONI262155 OXB262155:OXE262155 PGX262155:PHA262155 PQT262155:PQW262155 QAP262155:QAS262155 QKL262155:QKO262155 QUH262155:QUK262155 RED262155:REG262155 RNZ262155:ROC262155 RXV262155:RXY262155 SHR262155:SHU262155 SRN262155:SRQ262155 TBJ262155:TBM262155 TLF262155:TLI262155 TVB262155:TVE262155 UEX262155:UFA262155 UOT262155:UOW262155 UYP262155:UYS262155 VIL262155:VIO262155 VSH262155:VSK262155 WCD262155:WCG262155 WLZ262155:WMC262155 WVV262155:WVY262155 N327676:Q327676 JJ327691:JM327691 TF327691:TI327691 ADB327691:ADE327691 AMX327691:ANA327691 AWT327691:AWW327691 BGP327691:BGS327691 BQL327691:BQO327691 CAH327691:CAK327691 CKD327691:CKG327691 CTZ327691:CUC327691 DDV327691:DDY327691 DNR327691:DNU327691 DXN327691:DXQ327691 EHJ327691:EHM327691 ERF327691:ERI327691 FBB327691:FBE327691 FKX327691:FLA327691 FUT327691:FUW327691 GEP327691:GES327691 GOL327691:GOO327691 GYH327691:GYK327691 HID327691:HIG327691 HRZ327691:HSC327691 IBV327691:IBY327691 ILR327691:ILU327691 IVN327691:IVQ327691 JFJ327691:JFM327691 JPF327691:JPI327691 JZB327691:JZE327691 KIX327691:KJA327691 KST327691:KSW327691 LCP327691:LCS327691 LML327691:LMO327691 LWH327691:LWK327691 MGD327691:MGG327691 MPZ327691:MQC327691 MZV327691:MZY327691 NJR327691:NJU327691 NTN327691:NTQ327691 ODJ327691:ODM327691 ONF327691:ONI327691 OXB327691:OXE327691 PGX327691:PHA327691 PQT327691:PQW327691 QAP327691:QAS327691 QKL327691:QKO327691 QUH327691:QUK327691 RED327691:REG327691 RNZ327691:ROC327691 RXV327691:RXY327691 SHR327691:SHU327691 SRN327691:SRQ327691 TBJ327691:TBM327691 TLF327691:TLI327691 TVB327691:TVE327691 UEX327691:UFA327691 UOT327691:UOW327691 UYP327691:UYS327691 VIL327691:VIO327691 VSH327691:VSK327691 WCD327691:WCG327691 WLZ327691:WMC327691 WVV327691:WVY327691 N393212:Q393212 JJ393227:JM393227 TF393227:TI393227 ADB393227:ADE393227 AMX393227:ANA393227 AWT393227:AWW393227 BGP393227:BGS393227 BQL393227:BQO393227 CAH393227:CAK393227 CKD393227:CKG393227 CTZ393227:CUC393227 DDV393227:DDY393227 DNR393227:DNU393227 DXN393227:DXQ393227 EHJ393227:EHM393227 ERF393227:ERI393227 FBB393227:FBE393227 FKX393227:FLA393227 FUT393227:FUW393227 GEP393227:GES393227 GOL393227:GOO393227 GYH393227:GYK393227 HID393227:HIG393227 HRZ393227:HSC393227 IBV393227:IBY393227 ILR393227:ILU393227 IVN393227:IVQ393227 JFJ393227:JFM393227 JPF393227:JPI393227 JZB393227:JZE393227 KIX393227:KJA393227 KST393227:KSW393227 LCP393227:LCS393227 LML393227:LMO393227 LWH393227:LWK393227 MGD393227:MGG393227 MPZ393227:MQC393227 MZV393227:MZY393227 NJR393227:NJU393227 NTN393227:NTQ393227 ODJ393227:ODM393227 ONF393227:ONI393227 OXB393227:OXE393227 PGX393227:PHA393227 PQT393227:PQW393227 QAP393227:QAS393227 QKL393227:QKO393227 QUH393227:QUK393227 RED393227:REG393227 RNZ393227:ROC393227 RXV393227:RXY393227 SHR393227:SHU393227 SRN393227:SRQ393227 TBJ393227:TBM393227 TLF393227:TLI393227 TVB393227:TVE393227 UEX393227:UFA393227 UOT393227:UOW393227 UYP393227:UYS393227 VIL393227:VIO393227 VSH393227:VSK393227 WCD393227:WCG393227 WLZ393227:WMC393227 WVV393227:WVY393227 N458748:Q458748 JJ458763:JM458763 TF458763:TI458763 ADB458763:ADE458763 AMX458763:ANA458763 AWT458763:AWW458763 BGP458763:BGS458763 BQL458763:BQO458763 CAH458763:CAK458763 CKD458763:CKG458763 CTZ458763:CUC458763 DDV458763:DDY458763 DNR458763:DNU458763 DXN458763:DXQ458763 EHJ458763:EHM458763 ERF458763:ERI458763 FBB458763:FBE458763 FKX458763:FLA458763 FUT458763:FUW458763 GEP458763:GES458763 GOL458763:GOO458763 GYH458763:GYK458763 HID458763:HIG458763 HRZ458763:HSC458763 IBV458763:IBY458763 ILR458763:ILU458763 IVN458763:IVQ458763 JFJ458763:JFM458763 JPF458763:JPI458763 JZB458763:JZE458763 KIX458763:KJA458763 KST458763:KSW458763 LCP458763:LCS458763 LML458763:LMO458763 LWH458763:LWK458763 MGD458763:MGG458763 MPZ458763:MQC458763 MZV458763:MZY458763 NJR458763:NJU458763 NTN458763:NTQ458763 ODJ458763:ODM458763 ONF458763:ONI458763 OXB458763:OXE458763 PGX458763:PHA458763 PQT458763:PQW458763 QAP458763:QAS458763 QKL458763:QKO458763 QUH458763:QUK458763 RED458763:REG458763 RNZ458763:ROC458763 RXV458763:RXY458763 SHR458763:SHU458763 SRN458763:SRQ458763 TBJ458763:TBM458763 TLF458763:TLI458763 TVB458763:TVE458763 UEX458763:UFA458763 UOT458763:UOW458763 UYP458763:UYS458763 VIL458763:VIO458763 VSH458763:VSK458763 WCD458763:WCG458763 WLZ458763:WMC458763 WVV458763:WVY458763 N524284:Q524284 JJ524299:JM524299 TF524299:TI524299 ADB524299:ADE524299 AMX524299:ANA524299 AWT524299:AWW524299 BGP524299:BGS524299 BQL524299:BQO524299 CAH524299:CAK524299 CKD524299:CKG524299 CTZ524299:CUC524299 DDV524299:DDY524299 DNR524299:DNU524299 DXN524299:DXQ524299 EHJ524299:EHM524299 ERF524299:ERI524299 FBB524299:FBE524299 FKX524299:FLA524299 FUT524299:FUW524299 GEP524299:GES524299 GOL524299:GOO524299 GYH524299:GYK524299 HID524299:HIG524299 HRZ524299:HSC524299 IBV524299:IBY524299 ILR524299:ILU524299 IVN524299:IVQ524299 JFJ524299:JFM524299 JPF524299:JPI524299 JZB524299:JZE524299 KIX524299:KJA524299 KST524299:KSW524299 LCP524299:LCS524299 LML524299:LMO524299 LWH524299:LWK524299 MGD524299:MGG524299 MPZ524299:MQC524299 MZV524299:MZY524299 NJR524299:NJU524299 NTN524299:NTQ524299 ODJ524299:ODM524299 ONF524299:ONI524299 OXB524299:OXE524299 PGX524299:PHA524299 PQT524299:PQW524299 QAP524299:QAS524299 QKL524299:QKO524299 QUH524299:QUK524299 RED524299:REG524299 RNZ524299:ROC524299 RXV524299:RXY524299 SHR524299:SHU524299 SRN524299:SRQ524299 TBJ524299:TBM524299 TLF524299:TLI524299 TVB524299:TVE524299 UEX524299:UFA524299 UOT524299:UOW524299 UYP524299:UYS524299 VIL524299:VIO524299 VSH524299:VSK524299 WCD524299:WCG524299 WLZ524299:WMC524299 WVV524299:WVY524299 N589820:Q589820 JJ589835:JM589835 TF589835:TI589835 ADB589835:ADE589835 AMX589835:ANA589835 AWT589835:AWW589835 BGP589835:BGS589835 BQL589835:BQO589835 CAH589835:CAK589835 CKD589835:CKG589835 CTZ589835:CUC589835 DDV589835:DDY589835 DNR589835:DNU589835 DXN589835:DXQ589835 EHJ589835:EHM589835 ERF589835:ERI589835 FBB589835:FBE589835 FKX589835:FLA589835 FUT589835:FUW589835 GEP589835:GES589835 GOL589835:GOO589835 GYH589835:GYK589835 HID589835:HIG589835 HRZ589835:HSC589835 IBV589835:IBY589835 ILR589835:ILU589835 IVN589835:IVQ589835 JFJ589835:JFM589835 JPF589835:JPI589835 JZB589835:JZE589835 KIX589835:KJA589835 KST589835:KSW589835 LCP589835:LCS589835 LML589835:LMO589835 LWH589835:LWK589835 MGD589835:MGG589835 MPZ589835:MQC589835 MZV589835:MZY589835 NJR589835:NJU589835 NTN589835:NTQ589835 ODJ589835:ODM589835 ONF589835:ONI589835 OXB589835:OXE589835 PGX589835:PHA589835 PQT589835:PQW589835 QAP589835:QAS589835 QKL589835:QKO589835 QUH589835:QUK589835 RED589835:REG589835 RNZ589835:ROC589835 RXV589835:RXY589835 SHR589835:SHU589835 SRN589835:SRQ589835 TBJ589835:TBM589835 TLF589835:TLI589835 TVB589835:TVE589835 UEX589835:UFA589835 UOT589835:UOW589835 UYP589835:UYS589835 VIL589835:VIO589835 VSH589835:VSK589835 WCD589835:WCG589835 WLZ589835:WMC589835 WVV589835:WVY589835 N655356:Q655356 JJ655371:JM655371 TF655371:TI655371 ADB655371:ADE655371 AMX655371:ANA655371 AWT655371:AWW655371 BGP655371:BGS655371 BQL655371:BQO655371 CAH655371:CAK655371 CKD655371:CKG655371 CTZ655371:CUC655371 DDV655371:DDY655371 DNR655371:DNU655371 DXN655371:DXQ655371 EHJ655371:EHM655371 ERF655371:ERI655371 FBB655371:FBE655371 FKX655371:FLA655371 FUT655371:FUW655371 GEP655371:GES655371 GOL655371:GOO655371 GYH655371:GYK655371 HID655371:HIG655371 HRZ655371:HSC655371 IBV655371:IBY655371 ILR655371:ILU655371 IVN655371:IVQ655371 JFJ655371:JFM655371 JPF655371:JPI655371 JZB655371:JZE655371 KIX655371:KJA655371 KST655371:KSW655371 LCP655371:LCS655371 LML655371:LMO655371 LWH655371:LWK655371 MGD655371:MGG655371 MPZ655371:MQC655371 MZV655371:MZY655371 NJR655371:NJU655371 NTN655371:NTQ655371 ODJ655371:ODM655371 ONF655371:ONI655371 OXB655371:OXE655371 PGX655371:PHA655371 PQT655371:PQW655371 QAP655371:QAS655371 QKL655371:QKO655371 QUH655371:QUK655371 RED655371:REG655371 RNZ655371:ROC655371 RXV655371:RXY655371 SHR655371:SHU655371 SRN655371:SRQ655371 TBJ655371:TBM655371 TLF655371:TLI655371 TVB655371:TVE655371 UEX655371:UFA655371 UOT655371:UOW655371 UYP655371:UYS655371 VIL655371:VIO655371 VSH655371:VSK655371 WCD655371:WCG655371 WLZ655371:WMC655371 WVV655371:WVY655371 N720892:Q720892 JJ720907:JM720907 TF720907:TI720907 ADB720907:ADE720907 AMX720907:ANA720907 AWT720907:AWW720907 BGP720907:BGS720907 BQL720907:BQO720907 CAH720907:CAK720907 CKD720907:CKG720907 CTZ720907:CUC720907 DDV720907:DDY720907 DNR720907:DNU720907 DXN720907:DXQ720907 EHJ720907:EHM720907 ERF720907:ERI720907 FBB720907:FBE720907 FKX720907:FLA720907 FUT720907:FUW720907 GEP720907:GES720907 GOL720907:GOO720907 GYH720907:GYK720907 HID720907:HIG720907 HRZ720907:HSC720907 IBV720907:IBY720907 ILR720907:ILU720907 IVN720907:IVQ720907 JFJ720907:JFM720907 JPF720907:JPI720907 JZB720907:JZE720907 KIX720907:KJA720907 KST720907:KSW720907 LCP720907:LCS720907 LML720907:LMO720907 LWH720907:LWK720907 MGD720907:MGG720907 MPZ720907:MQC720907 MZV720907:MZY720907 NJR720907:NJU720907 NTN720907:NTQ720907 ODJ720907:ODM720907 ONF720907:ONI720907 OXB720907:OXE720907 PGX720907:PHA720907 PQT720907:PQW720907 QAP720907:QAS720907 QKL720907:QKO720907 QUH720907:QUK720907 RED720907:REG720907 RNZ720907:ROC720907 RXV720907:RXY720907 SHR720907:SHU720907 SRN720907:SRQ720907 TBJ720907:TBM720907 TLF720907:TLI720907 TVB720907:TVE720907 UEX720907:UFA720907 UOT720907:UOW720907 UYP720907:UYS720907 VIL720907:VIO720907 VSH720907:VSK720907 WCD720907:WCG720907 WLZ720907:WMC720907 WVV720907:WVY720907 N786428:Q786428 JJ786443:JM786443 TF786443:TI786443 ADB786443:ADE786443 AMX786443:ANA786443 AWT786443:AWW786443 BGP786443:BGS786443 BQL786443:BQO786443 CAH786443:CAK786443 CKD786443:CKG786443 CTZ786443:CUC786443 DDV786443:DDY786443 DNR786443:DNU786443 DXN786443:DXQ786443 EHJ786443:EHM786443 ERF786443:ERI786443 FBB786443:FBE786443 FKX786443:FLA786443 FUT786443:FUW786443 GEP786443:GES786443 GOL786443:GOO786443 GYH786443:GYK786443 HID786443:HIG786443 HRZ786443:HSC786443 IBV786443:IBY786443 ILR786443:ILU786443 IVN786443:IVQ786443 JFJ786443:JFM786443 JPF786443:JPI786443 JZB786443:JZE786443 KIX786443:KJA786443 KST786443:KSW786443 LCP786443:LCS786443 LML786443:LMO786443 LWH786443:LWK786443 MGD786443:MGG786443 MPZ786443:MQC786443 MZV786443:MZY786443 NJR786443:NJU786443 NTN786443:NTQ786443 ODJ786443:ODM786443 ONF786443:ONI786443 OXB786443:OXE786443 PGX786443:PHA786443 PQT786443:PQW786443 QAP786443:QAS786443 QKL786443:QKO786443 QUH786443:QUK786443 RED786443:REG786443 RNZ786443:ROC786443 RXV786443:RXY786443 SHR786443:SHU786443 SRN786443:SRQ786443 TBJ786443:TBM786443 TLF786443:TLI786443 TVB786443:TVE786443 UEX786443:UFA786443 UOT786443:UOW786443 UYP786443:UYS786443 VIL786443:VIO786443 VSH786443:VSK786443 WCD786443:WCG786443 WLZ786443:WMC786443 WVV786443:WVY786443 N851964:Q851964 JJ851979:JM851979 TF851979:TI851979 ADB851979:ADE851979 AMX851979:ANA851979 AWT851979:AWW851979 BGP851979:BGS851979 BQL851979:BQO851979 CAH851979:CAK851979 CKD851979:CKG851979 CTZ851979:CUC851979 DDV851979:DDY851979 DNR851979:DNU851979 DXN851979:DXQ851979 EHJ851979:EHM851979 ERF851979:ERI851979 FBB851979:FBE851979 FKX851979:FLA851979 FUT851979:FUW851979 GEP851979:GES851979 GOL851979:GOO851979 GYH851979:GYK851979 HID851979:HIG851979 HRZ851979:HSC851979 IBV851979:IBY851979 ILR851979:ILU851979 IVN851979:IVQ851979 JFJ851979:JFM851979 JPF851979:JPI851979 JZB851979:JZE851979 KIX851979:KJA851979 KST851979:KSW851979 LCP851979:LCS851979 LML851979:LMO851979 LWH851979:LWK851979 MGD851979:MGG851979 MPZ851979:MQC851979 MZV851979:MZY851979 NJR851979:NJU851979 NTN851979:NTQ851979 ODJ851979:ODM851979 ONF851979:ONI851979 OXB851979:OXE851979 PGX851979:PHA851979 PQT851979:PQW851979 QAP851979:QAS851979 QKL851979:QKO851979 QUH851979:QUK851979 RED851979:REG851979 RNZ851979:ROC851979 RXV851979:RXY851979 SHR851979:SHU851979 SRN851979:SRQ851979 TBJ851979:TBM851979 TLF851979:TLI851979 TVB851979:TVE851979 UEX851979:UFA851979 UOT851979:UOW851979 UYP851979:UYS851979 VIL851979:VIO851979 VSH851979:VSK851979 WCD851979:WCG851979 WLZ851979:WMC851979 WVV851979:WVY851979 N917500:Q917500 JJ917515:JM917515 TF917515:TI917515 ADB917515:ADE917515 AMX917515:ANA917515 AWT917515:AWW917515 BGP917515:BGS917515 BQL917515:BQO917515 CAH917515:CAK917515 CKD917515:CKG917515 CTZ917515:CUC917515 DDV917515:DDY917515 DNR917515:DNU917515 DXN917515:DXQ917515 EHJ917515:EHM917515 ERF917515:ERI917515 FBB917515:FBE917515 FKX917515:FLA917515 FUT917515:FUW917515 GEP917515:GES917515 GOL917515:GOO917515 GYH917515:GYK917515 HID917515:HIG917515 HRZ917515:HSC917515 IBV917515:IBY917515 ILR917515:ILU917515 IVN917515:IVQ917515 JFJ917515:JFM917515 JPF917515:JPI917515 JZB917515:JZE917515 KIX917515:KJA917515 KST917515:KSW917515 LCP917515:LCS917515 LML917515:LMO917515 LWH917515:LWK917515 MGD917515:MGG917515 MPZ917515:MQC917515 MZV917515:MZY917515 NJR917515:NJU917515 NTN917515:NTQ917515 ODJ917515:ODM917515 ONF917515:ONI917515 OXB917515:OXE917515 PGX917515:PHA917515 PQT917515:PQW917515 QAP917515:QAS917515 QKL917515:QKO917515 QUH917515:QUK917515 RED917515:REG917515 RNZ917515:ROC917515 RXV917515:RXY917515 SHR917515:SHU917515 SRN917515:SRQ917515 TBJ917515:TBM917515 TLF917515:TLI917515 TVB917515:TVE917515 UEX917515:UFA917515 UOT917515:UOW917515 UYP917515:UYS917515 VIL917515:VIO917515 VSH917515:VSK917515 WCD917515:WCG917515 WLZ917515:WMC917515 WVV917515:WVY917515 N983036:Q983036 JJ983051:JM983051 TF983051:TI983051 ADB983051:ADE983051 AMX983051:ANA983051 AWT983051:AWW983051 BGP983051:BGS983051 BQL983051:BQO983051 CAH983051:CAK983051 CKD983051:CKG983051 CTZ983051:CUC983051 DDV983051:DDY983051 DNR983051:DNU983051 DXN983051:DXQ983051 EHJ983051:EHM983051 ERF983051:ERI983051 FBB983051:FBE983051 FKX983051:FLA983051 FUT983051:FUW983051 GEP983051:GES983051 GOL983051:GOO983051 GYH983051:GYK983051 HID983051:HIG983051 HRZ983051:HSC983051 IBV983051:IBY983051 ILR983051:ILU983051 IVN983051:IVQ983051 JFJ983051:JFM983051 JPF983051:JPI983051 JZB983051:JZE983051 KIX983051:KJA983051 KST983051:KSW983051 LCP983051:LCS983051 LML983051:LMO983051 LWH983051:LWK983051 MGD983051:MGG983051 MPZ983051:MQC983051 MZV983051:MZY983051 NJR983051:NJU983051 NTN983051:NTQ983051 ODJ983051:ODM983051 ONF983051:ONI983051 OXB983051:OXE983051 PGX983051:PHA983051 PQT983051:PQW983051 QAP983051:QAS983051 QKL983051:QKO983051 QUH983051:QUK983051 RED983051:REG983051 RNZ983051:ROC983051 RXV983051:RXY983051 SHR983051:SHU983051 SRN983051:SRQ983051 TBJ983051:TBM983051 TLF983051:TLI983051 TVB983051:TVE983051 UEX983051:UFA983051 UOT983051:UOW983051 UYP983051:UYS983051 VIL983051:VIO983051 VSH983051:VSK983051 WCD983051:WCG983051 WLZ983051:WMC983051 WVV983051:WVY983051" xr:uid="{34930C5E-07DA-43BD-BAD4-6E73E4C3D887}">
      <formula1>0.075</formula1>
    </dataValidation>
    <dataValidation type="list" allowBlank="1" showErrorMessage="1" errorTitle="The Category is incorrect" error="Please click the arrow and select your category" prompt="Choose your movement category by clicking the arrow and selecting your category" sqref="E983034:H983034 JA8:JD8 SW8:SZ8 ACS8:ACV8 AMO8:AMR8 AWK8:AWN8 BGG8:BGJ8 BQC8:BQF8 BZY8:CAB8 CJU8:CJX8 CTQ8:CTT8 DDM8:DDP8 DNI8:DNL8 DXE8:DXH8 EHA8:EHD8 EQW8:EQZ8 FAS8:FAV8 FKO8:FKR8 FUK8:FUN8 GEG8:GEJ8 GOC8:GOF8 GXY8:GYB8 HHU8:HHX8 HRQ8:HRT8 IBM8:IBP8 ILI8:ILL8 IVE8:IVH8 JFA8:JFD8 JOW8:JOZ8 JYS8:JYV8 KIO8:KIR8 KSK8:KSN8 LCG8:LCJ8 LMC8:LMF8 LVY8:LWB8 MFU8:MFX8 MPQ8:MPT8 MZM8:MZP8 NJI8:NJL8 NTE8:NTH8 ODA8:ODD8 OMW8:OMZ8 OWS8:OWV8 PGO8:PGR8 PQK8:PQN8 QAG8:QAJ8 QKC8:QKF8 QTY8:QUB8 RDU8:RDX8 RNQ8:RNT8 RXM8:RXP8 SHI8:SHL8 SRE8:SRH8 TBA8:TBD8 TKW8:TKZ8 TUS8:TUV8 UEO8:UER8 UOK8:UON8 UYG8:UYJ8 VIC8:VIF8 VRY8:VSB8 WBU8:WBX8 WLQ8:WLT8 WVM8:WVP8 E65530:H65530 JA65545:JD65545 SW65545:SZ65545 ACS65545:ACV65545 AMO65545:AMR65545 AWK65545:AWN65545 BGG65545:BGJ65545 BQC65545:BQF65545 BZY65545:CAB65545 CJU65545:CJX65545 CTQ65545:CTT65545 DDM65545:DDP65545 DNI65545:DNL65545 DXE65545:DXH65545 EHA65545:EHD65545 EQW65545:EQZ65545 FAS65545:FAV65545 FKO65545:FKR65545 FUK65545:FUN65545 GEG65545:GEJ65545 GOC65545:GOF65545 GXY65545:GYB65545 HHU65545:HHX65545 HRQ65545:HRT65545 IBM65545:IBP65545 ILI65545:ILL65545 IVE65545:IVH65545 JFA65545:JFD65545 JOW65545:JOZ65545 JYS65545:JYV65545 KIO65545:KIR65545 KSK65545:KSN65545 LCG65545:LCJ65545 LMC65545:LMF65545 LVY65545:LWB65545 MFU65545:MFX65545 MPQ65545:MPT65545 MZM65545:MZP65545 NJI65545:NJL65545 NTE65545:NTH65545 ODA65545:ODD65545 OMW65545:OMZ65545 OWS65545:OWV65545 PGO65545:PGR65545 PQK65545:PQN65545 QAG65545:QAJ65545 QKC65545:QKF65545 QTY65545:QUB65545 RDU65545:RDX65545 RNQ65545:RNT65545 RXM65545:RXP65545 SHI65545:SHL65545 SRE65545:SRH65545 TBA65545:TBD65545 TKW65545:TKZ65545 TUS65545:TUV65545 UEO65545:UER65545 UOK65545:UON65545 UYG65545:UYJ65545 VIC65545:VIF65545 VRY65545:VSB65545 WBU65545:WBX65545 WLQ65545:WLT65545 WVM65545:WVP65545 E131066:H131066 JA131081:JD131081 SW131081:SZ131081 ACS131081:ACV131081 AMO131081:AMR131081 AWK131081:AWN131081 BGG131081:BGJ131081 BQC131081:BQF131081 BZY131081:CAB131081 CJU131081:CJX131081 CTQ131081:CTT131081 DDM131081:DDP131081 DNI131081:DNL131081 DXE131081:DXH131081 EHA131081:EHD131081 EQW131081:EQZ131081 FAS131081:FAV131081 FKO131081:FKR131081 FUK131081:FUN131081 GEG131081:GEJ131081 GOC131081:GOF131081 GXY131081:GYB131081 HHU131081:HHX131081 HRQ131081:HRT131081 IBM131081:IBP131081 ILI131081:ILL131081 IVE131081:IVH131081 JFA131081:JFD131081 JOW131081:JOZ131081 JYS131081:JYV131081 KIO131081:KIR131081 KSK131081:KSN131081 LCG131081:LCJ131081 LMC131081:LMF131081 LVY131081:LWB131081 MFU131081:MFX131081 MPQ131081:MPT131081 MZM131081:MZP131081 NJI131081:NJL131081 NTE131081:NTH131081 ODA131081:ODD131081 OMW131081:OMZ131081 OWS131081:OWV131081 PGO131081:PGR131081 PQK131081:PQN131081 QAG131081:QAJ131081 QKC131081:QKF131081 QTY131081:QUB131081 RDU131081:RDX131081 RNQ131081:RNT131081 RXM131081:RXP131081 SHI131081:SHL131081 SRE131081:SRH131081 TBA131081:TBD131081 TKW131081:TKZ131081 TUS131081:TUV131081 UEO131081:UER131081 UOK131081:UON131081 UYG131081:UYJ131081 VIC131081:VIF131081 VRY131081:VSB131081 WBU131081:WBX131081 WLQ131081:WLT131081 WVM131081:WVP131081 E196602:H196602 JA196617:JD196617 SW196617:SZ196617 ACS196617:ACV196617 AMO196617:AMR196617 AWK196617:AWN196617 BGG196617:BGJ196617 BQC196617:BQF196617 BZY196617:CAB196617 CJU196617:CJX196617 CTQ196617:CTT196617 DDM196617:DDP196617 DNI196617:DNL196617 DXE196617:DXH196617 EHA196617:EHD196617 EQW196617:EQZ196617 FAS196617:FAV196617 FKO196617:FKR196617 FUK196617:FUN196617 GEG196617:GEJ196617 GOC196617:GOF196617 GXY196617:GYB196617 HHU196617:HHX196617 HRQ196617:HRT196617 IBM196617:IBP196617 ILI196617:ILL196617 IVE196617:IVH196617 JFA196617:JFD196617 JOW196617:JOZ196617 JYS196617:JYV196617 KIO196617:KIR196617 KSK196617:KSN196617 LCG196617:LCJ196617 LMC196617:LMF196617 LVY196617:LWB196617 MFU196617:MFX196617 MPQ196617:MPT196617 MZM196617:MZP196617 NJI196617:NJL196617 NTE196617:NTH196617 ODA196617:ODD196617 OMW196617:OMZ196617 OWS196617:OWV196617 PGO196617:PGR196617 PQK196617:PQN196617 QAG196617:QAJ196617 QKC196617:QKF196617 QTY196617:QUB196617 RDU196617:RDX196617 RNQ196617:RNT196617 RXM196617:RXP196617 SHI196617:SHL196617 SRE196617:SRH196617 TBA196617:TBD196617 TKW196617:TKZ196617 TUS196617:TUV196617 UEO196617:UER196617 UOK196617:UON196617 UYG196617:UYJ196617 VIC196617:VIF196617 VRY196617:VSB196617 WBU196617:WBX196617 WLQ196617:WLT196617 WVM196617:WVP196617 E262138:H262138 JA262153:JD262153 SW262153:SZ262153 ACS262153:ACV262153 AMO262153:AMR262153 AWK262153:AWN262153 BGG262153:BGJ262153 BQC262153:BQF262153 BZY262153:CAB262153 CJU262153:CJX262153 CTQ262153:CTT262153 DDM262153:DDP262153 DNI262153:DNL262153 DXE262153:DXH262153 EHA262153:EHD262153 EQW262153:EQZ262153 FAS262153:FAV262153 FKO262153:FKR262153 FUK262153:FUN262153 GEG262153:GEJ262153 GOC262153:GOF262153 GXY262153:GYB262153 HHU262153:HHX262153 HRQ262153:HRT262153 IBM262153:IBP262153 ILI262153:ILL262153 IVE262153:IVH262153 JFA262153:JFD262153 JOW262153:JOZ262153 JYS262153:JYV262153 KIO262153:KIR262153 KSK262153:KSN262153 LCG262153:LCJ262153 LMC262153:LMF262153 LVY262153:LWB262153 MFU262153:MFX262153 MPQ262153:MPT262153 MZM262153:MZP262153 NJI262153:NJL262153 NTE262153:NTH262153 ODA262153:ODD262153 OMW262153:OMZ262153 OWS262153:OWV262153 PGO262153:PGR262153 PQK262153:PQN262153 QAG262153:QAJ262153 QKC262153:QKF262153 QTY262153:QUB262153 RDU262153:RDX262153 RNQ262153:RNT262153 RXM262153:RXP262153 SHI262153:SHL262153 SRE262153:SRH262153 TBA262153:TBD262153 TKW262153:TKZ262153 TUS262153:TUV262153 UEO262153:UER262153 UOK262153:UON262153 UYG262153:UYJ262153 VIC262153:VIF262153 VRY262153:VSB262153 WBU262153:WBX262153 WLQ262153:WLT262153 WVM262153:WVP262153 E327674:H327674 JA327689:JD327689 SW327689:SZ327689 ACS327689:ACV327689 AMO327689:AMR327689 AWK327689:AWN327689 BGG327689:BGJ327689 BQC327689:BQF327689 BZY327689:CAB327689 CJU327689:CJX327689 CTQ327689:CTT327689 DDM327689:DDP327689 DNI327689:DNL327689 DXE327689:DXH327689 EHA327689:EHD327689 EQW327689:EQZ327689 FAS327689:FAV327689 FKO327689:FKR327689 FUK327689:FUN327689 GEG327689:GEJ327689 GOC327689:GOF327689 GXY327689:GYB327689 HHU327689:HHX327689 HRQ327689:HRT327689 IBM327689:IBP327689 ILI327689:ILL327689 IVE327689:IVH327689 JFA327689:JFD327689 JOW327689:JOZ327689 JYS327689:JYV327689 KIO327689:KIR327689 KSK327689:KSN327689 LCG327689:LCJ327689 LMC327689:LMF327689 LVY327689:LWB327689 MFU327689:MFX327689 MPQ327689:MPT327689 MZM327689:MZP327689 NJI327689:NJL327689 NTE327689:NTH327689 ODA327689:ODD327689 OMW327689:OMZ327689 OWS327689:OWV327689 PGO327689:PGR327689 PQK327689:PQN327689 QAG327689:QAJ327689 QKC327689:QKF327689 QTY327689:QUB327689 RDU327689:RDX327689 RNQ327689:RNT327689 RXM327689:RXP327689 SHI327689:SHL327689 SRE327689:SRH327689 TBA327689:TBD327689 TKW327689:TKZ327689 TUS327689:TUV327689 UEO327689:UER327689 UOK327689:UON327689 UYG327689:UYJ327689 VIC327689:VIF327689 VRY327689:VSB327689 WBU327689:WBX327689 WLQ327689:WLT327689 WVM327689:WVP327689 E393210:H393210 JA393225:JD393225 SW393225:SZ393225 ACS393225:ACV393225 AMO393225:AMR393225 AWK393225:AWN393225 BGG393225:BGJ393225 BQC393225:BQF393225 BZY393225:CAB393225 CJU393225:CJX393225 CTQ393225:CTT393225 DDM393225:DDP393225 DNI393225:DNL393225 DXE393225:DXH393225 EHA393225:EHD393225 EQW393225:EQZ393225 FAS393225:FAV393225 FKO393225:FKR393225 FUK393225:FUN393225 GEG393225:GEJ393225 GOC393225:GOF393225 GXY393225:GYB393225 HHU393225:HHX393225 HRQ393225:HRT393225 IBM393225:IBP393225 ILI393225:ILL393225 IVE393225:IVH393225 JFA393225:JFD393225 JOW393225:JOZ393225 JYS393225:JYV393225 KIO393225:KIR393225 KSK393225:KSN393225 LCG393225:LCJ393225 LMC393225:LMF393225 LVY393225:LWB393225 MFU393225:MFX393225 MPQ393225:MPT393225 MZM393225:MZP393225 NJI393225:NJL393225 NTE393225:NTH393225 ODA393225:ODD393225 OMW393225:OMZ393225 OWS393225:OWV393225 PGO393225:PGR393225 PQK393225:PQN393225 QAG393225:QAJ393225 QKC393225:QKF393225 QTY393225:QUB393225 RDU393225:RDX393225 RNQ393225:RNT393225 RXM393225:RXP393225 SHI393225:SHL393225 SRE393225:SRH393225 TBA393225:TBD393225 TKW393225:TKZ393225 TUS393225:TUV393225 UEO393225:UER393225 UOK393225:UON393225 UYG393225:UYJ393225 VIC393225:VIF393225 VRY393225:VSB393225 WBU393225:WBX393225 WLQ393225:WLT393225 WVM393225:WVP393225 E458746:H458746 JA458761:JD458761 SW458761:SZ458761 ACS458761:ACV458761 AMO458761:AMR458761 AWK458761:AWN458761 BGG458761:BGJ458761 BQC458761:BQF458761 BZY458761:CAB458761 CJU458761:CJX458761 CTQ458761:CTT458761 DDM458761:DDP458761 DNI458761:DNL458761 DXE458761:DXH458761 EHA458761:EHD458761 EQW458761:EQZ458761 FAS458761:FAV458761 FKO458761:FKR458761 FUK458761:FUN458761 GEG458761:GEJ458761 GOC458761:GOF458761 GXY458761:GYB458761 HHU458761:HHX458761 HRQ458761:HRT458761 IBM458761:IBP458761 ILI458761:ILL458761 IVE458761:IVH458761 JFA458761:JFD458761 JOW458761:JOZ458761 JYS458761:JYV458761 KIO458761:KIR458761 KSK458761:KSN458761 LCG458761:LCJ458761 LMC458761:LMF458761 LVY458761:LWB458761 MFU458761:MFX458761 MPQ458761:MPT458761 MZM458761:MZP458761 NJI458761:NJL458761 NTE458761:NTH458761 ODA458761:ODD458761 OMW458761:OMZ458761 OWS458761:OWV458761 PGO458761:PGR458761 PQK458761:PQN458761 QAG458761:QAJ458761 QKC458761:QKF458761 QTY458761:QUB458761 RDU458761:RDX458761 RNQ458761:RNT458761 RXM458761:RXP458761 SHI458761:SHL458761 SRE458761:SRH458761 TBA458761:TBD458761 TKW458761:TKZ458761 TUS458761:TUV458761 UEO458761:UER458761 UOK458761:UON458761 UYG458761:UYJ458761 VIC458761:VIF458761 VRY458761:VSB458761 WBU458761:WBX458761 WLQ458761:WLT458761 WVM458761:WVP458761 E524282:H524282 JA524297:JD524297 SW524297:SZ524297 ACS524297:ACV524297 AMO524297:AMR524297 AWK524297:AWN524297 BGG524297:BGJ524297 BQC524297:BQF524297 BZY524297:CAB524297 CJU524297:CJX524297 CTQ524297:CTT524297 DDM524297:DDP524297 DNI524297:DNL524297 DXE524297:DXH524297 EHA524297:EHD524297 EQW524297:EQZ524297 FAS524297:FAV524297 FKO524297:FKR524297 FUK524297:FUN524297 GEG524297:GEJ524297 GOC524297:GOF524297 GXY524297:GYB524297 HHU524297:HHX524297 HRQ524297:HRT524297 IBM524297:IBP524297 ILI524297:ILL524297 IVE524297:IVH524297 JFA524297:JFD524297 JOW524297:JOZ524297 JYS524297:JYV524297 KIO524297:KIR524297 KSK524297:KSN524297 LCG524297:LCJ524297 LMC524297:LMF524297 LVY524297:LWB524297 MFU524297:MFX524297 MPQ524297:MPT524297 MZM524297:MZP524297 NJI524297:NJL524297 NTE524297:NTH524297 ODA524297:ODD524297 OMW524297:OMZ524297 OWS524297:OWV524297 PGO524297:PGR524297 PQK524297:PQN524297 QAG524297:QAJ524297 QKC524297:QKF524297 QTY524297:QUB524297 RDU524297:RDX524297 RNQ524297:RNT524297 RXM524297:RXP524297 SHI524297:SHL524297 SRE524297:SRH524297 TBA524297:TBD524297 TKW524297:TKZ524297 TUS524297:TUV524297 UEO524297:UER524297 UOK524297:UON524297 UYG524297:UYJ524297 VIC524297:VIF524297 VRY524297:VSB524297 WBU524297:WBX524297 WLQ524297:WLT524297 WVM524297:WVP524297 E589818:H589818 JA589833:JD589833 SW589833:SZ589833 ACS589833:ACV589833 AMO589833:AMR589833 AWK589833:AWN589833 BGG589833:BGJ589833 BQC589833:BQF589833 BZY589833:CAB589833 CJU589833:CJX589833 CTQ589833:CTT589833 DDM589833:DDP589833 DNI589833:DNL589833 DXE589833:DXH589833 EHA589833:EHD589833 EQW589833:EQZ589833 FAS589833:FAV589833 FKO589833:FKR589833 FUK589833:FUN589833 GEG589833:GEJ589833 GOC589833:GOF589833 GXY589833:GYB589833 HHU589833:HHX589833 HRQ589833:HRT589833 IBM589833:IBP589833 ILI589833:ILL589833 IVE589833:IVH589833 JFA589833:JFD589833 JOW589833:JOZ589833 JYS589833:JYV589833 KIO589833:KIR589833 KSK589833:KSN589833 LCG589833:LCJ589833 LMC589833:LMF589833 LVY589833:LWB589833 MFU589833:MFX589833 MPQ589833:MPT589833 MZM589833:MZP589833 NJI589833:NJL589833 NTE589833:NTH589833 ODA589833:ODD589833 OMW589833:OMZ589833 OWS589833:OWV589833 PGO589833:PGR589833 PQK589833:PQN589833 QAG589833:QAJ589833 QKC589833:QKF589833 QTY589833:QUB589833 RDU589833:RDX589833 RNQ589833:RNT589833 RXM589833:RXP589833 SHI589833:SHL589833 SRE589833:SRH589833 TBA589833:TBD589833 TKW589833:TKZ589833 TUS589833:TUV589833 UEO589833:UER589833 UOK589833:UON589833 UYG589833:UYJ589833 VIC589833:VIF589833 VRY589833:VSB589833 WBU589833:WBX589833 WLQ589833:WLT589833 WVM589833:WVP589833 E655354:H655354 JA655369:JD655369 SW655369:SZ655369 ACS655369:ACV655369 AMO655369:AMR655369 AWK655369:AWN655369 BGG655369:BGJ655369 BQC655369:BQF655369 BZY655369:CAB655369 CJU655369:CJX655369 CTQ655369:CTT655369 DDM655369:DDP655369 DNI655369:DNL655369 DXE655369:DXH655369 EHA655369:EHD655369 EQW655369:EQZ655369 FAS655369:FAV655369 FKO655369:FKR655369 FUK655369:FUN655369 GEG655369:GEJ655369 GOC655369:GOF655369 GXY655369:GYB655369 HHU655369:HHX655369 HRQ655369:HRT655369 IBM655369:IBP655369 ILI655369:ILL655369 IVE655369:IVH655369 JFA655369:JFD655369 JOW655369:JOZ655369 JYS655369:JYV655369 KIO655369:KIR655369 KSK655369:KSN655369 LCG655369:LCJ655369 LMC655369:LMF655369 LVY655369:LWB655369 MFU655369:MFX655369 MPQ655369:MPT655369 MZM655369:MZP655369 NJI655369:NJL655369 NTE655369:NTH655369 ODA655369:ODD655369 OMW655369:OMZ655369 OWS655369:OWV655369 PGO655369:PGR655369 PQK655369:PQN655369 QAG655369:QAJ655369 QKC655369:QKF655369 QTY655369:QUB655369 RDU655369:RDX655369 RNQ655369:RNT655369 RXM655369:RXP655369 SHI655369:SHL655369 SRE655369:SRH655369 TBA655369:TBD655369 TKW655369:TKZ655369 TUS655369:TUV655369 UEO655369:UER655369 UOK655369:UON655369 UYG655369:UYJ655369 VIC655369:VIF655369 VRY655369:VSB655369 WBU655369:WBX655369 WLQ655369:WLT655369 WVM655369:WVP655369 E720890:H720890 JA720905:JD720905 SW720905:SZ720905 ACS720905:ACV720905 AMO720905:AMR720905 AWK720905:AWN720905 BGG720905:BGJ720905 BQC720905:BQF720905 BZY720905:CAB720905 CJU720905:CJX720905 CTQ720905:CTT720905 DDM720905:DDP720905 DNI720905:DNL720905 DXE720905:DXH720905 EHA720905:EHD720905 EQW720905:EQZ720905 FAS720905:FAV720905 FKO720905:FKR720905 FUK720905:FUN720905 GEG720905:GEJ720905 GOC720905:GOF720905 GXY720905:GYB720905 HHU720905:HHX720905 HRQ720905:HRT720905 IBM720905:IBP720905 ILI720905:ILL720905 IVE720905:IVH720905 JFA720905:JFD720905 JOW720905:JOZ720905 JYS720905:JYV720905 KIO720905:KIR720905 KSK720905:KSN720905 LCG720905:LCJ720905 LMC720905:LMF720905 LVY720905:LWB720905 MFU720905:MFX720905 MPQ720905:MPT720905 MZM720905:MZP720905 NJI720905:NJL720905 NTE720905:NTH720905 ODA720905:ODD720905 OMW720905:OMZ720905 OWS720905:OWV720905 PGO720905:PGR720905 PQK720905:PQN720905 QAG720905:QAJ720905 QKC720905:QKF720905 QTY720905:QUB720905 RDU720905:RDX720905 RNQ720905:RNT720905 RXM720905:RXP720905 SHI720905:SHL720905 SRE720905:SRH720905 TBA720905:TBD720905 TKW720905:TKZ720905 TUS720905:TUV720905 UEO720905:UER720905 UOK720905:UON720905 UYG720905:UYJ720905 VIC720905:VIF720905 VRY720905:VSB720905 WBU720905:WBX720905 WLQ720905:WLT720905 WVM720905:WVP720905 E786426:H786426 JA786441:JD786441 SW786441:SZ786441 ACS786441:ACV786441 AMO786441:AMR786441 AWK786441:AWN786441 BGG786441:BGJ786441 BQC786441:BQF786441 BZY786441:CAB786441 CJU786441:CJX786441 CTQ786441:CTT786441 DDM786441:DDP786441 DNI786441:DNL786441 DXE786441:DXH786441 EHA786441:EHD786441 EQW786441:EQZ786441 FAS786441:FAV786441 FKO786441:FKR786441 FUK786441:FUN786441 GEG786441:GEJ786441 GOC786441:GOF786441 GXY786441:GYB786441 HHU786441:HHX786441 HRQ786441:HRT786441 IBM786441:IBP786441 ILI786441:ILL786441 IVE786441:IVH786441 JFA786441:JFD786441 JOW786441:JOZ786441 JYS786441:JYV786441 KIO786441:KIR786441 KSK786441:KSN786441 LCG786441:LCJ786441 LMC786441:LMF786441 LVY786441:LWB786441 MFU786441:MFX786441 MPQ786441:MPT786441 MZM786441:MZP786441 NJI786441:NJL786441 NTE786441:NTH786441 ODA786441:ODD786441 OMW786441:OMZ786441 OWS786441:OWV786441 PGO786441:PGR786441 PQK786441:PQN786441 QAG786441:QAJ786441 QKC786441:QKF786441 QTY786441:QUB786441 RDU786441:RDX786441 RNQ786441:RNT786441 RXM786441:RXP786441 SHI786441:SHL786441 SRE786441:SRH786441 TBA786441:TBD786441 TKW786441:TKZ786441 TUS786441:TUV786441 UEO786441:UER786441 UOK786441:UON786441 UYG786441:UYJ786441 VIC786441:VIF786441 VRY786441:VSB786441 WBU786441:WBX786441 WLQ786441:WLT786441 WVM786441:WVP786441 E851962:H851962 JA851977:JD851977 SW851977:SZ851977 ACS851977:ACV851977 AMO851977:AMR851977 AWK851977:AWN851977 BGG851977:BGJ851977 BQC851977:BQF851977 BZY851977:CAB851977 CJU851977:CJX851977 CTQ851977:CTT851977 DDM851977:DDP851977 DNI851977:DNL851977 DXE851977:DXH851977 EHA851977:EHD851977 EQW851977:EQZ851977 FAS851977:FAV851977 FKO851977:FKR851977 FUK851977:FUN851977 GEG851977:GEJ851977 GOC851977:GOF851977 GXY851977:GYB851977 HHU851977:HHX851977 HRQ851977:HRT851977 IBM851977:IBP851977 ILI851977:ILL851977 IVE851977:IVH851977 JFA851977:JFD851977 JOW851977:JOZ851977 JYS851977:JYV851977 KIO851977:KIR851977 KSK851977:KSN851977 LCG851977:LCJ851977 LMC851977:LMF851977 LVY851977:LWB851977 MFU851977:MFX851977 MPQ851977:MPT851977 MZM851977:MZP851977 NJI851977:NJL851977 NTE851977:NTH851977 ODA851977:ODD851977 OMW851977:OMZ851977 OWS851977:OWV851977 PGO851977:PGR851977 PQK851977:PQN851977 QAG851977:QAJ851977 QKC851977:QKF851977 QTY851977:QUB851977 RDU851977:RDX851977 RNQ851977:RNT851977 RXM851977:RXP851977 SHI851977:SHL851977 SRE851977:SRH851977 TBA851977:TBD851977 TKW851977:TKZ851977 TUS851977:TUV851977 UEO851977:UER851977 UOK851977:UON851977 UYG851977:UYJ851977 VIC851977:VIF851977 VRY851977:VSB851977 WBU851977:WBX851977 WLQ851977:WLT851977 WVM851977:WVP851977 E917498:H917498 JA917513:JD917513 SW917513:SZ917513 ACS917513:ACV917513 AMO917513:AMR917513 AWK917513:AWN917513 BGG917513:BGJ917513 BQC917513:BQF917513 BZY917513:CAB917513 CJU917513:CJX917513 CTQ917513:CTT917513 DDM917513:DDP917513 DNI917513:DNL917513 DXE917513:DXH917513 EHA917513:EHD917513 EQW917513:EQZ917513 FAS917513:FAV917513 FKO917513:FKR917513 FUK917513:FUN917513 GEG917513:GEJ917513 GOC917513:GOF917513 GXY917513:GYB917513 HHU917513:HHX917513 HRQ917513:HRT917513 IBM917513:IBP917513 ILI917513:ILL917513 IVE917513:IVH917513 JFA917513:JFD917513 JOW917513:JOZ917513 JYS917513:JYV917513 KIO917513:KIR917513 KSK917513:KSN917513 LCG917513:LCJ917513 LMC917513:LMF917513 LVY917513:LWB917513 MFU917513:MFX917513 MPQ917513:MPT917513 MZM917513:MZP917513 NJI917513:NJL917513 NTE917513:NTH917513 ODA917513:ODD917513 OMW917513:OMZ917513 OWS917513:OWV917513 PGO917513:PGR917513 PQK917513:PQN917513 QAG917513:QAJ917513 QKC917513:QKF917513 QTY917513:QUB917513 RDU917513:RDX917513 RNQ917513:RNT917513 RXM917513:RXP917513 SHI917513:SHL917513 SRE917513:SRH917513 TBA917513:TBD917513 TKW917513:TKZ917513 TUS917513:TUV917513 UEO917513:UER917513 UOK917513:UON917513 UYG917513:UYJ917513 VIC917513:VIF917513 VRY917513:VSB917513 WBU917513:WBX917513 WLQ917513:WLT917513 WVM917513:WVP917513 JA983049:JD983049 SW983049:SZ983049 ACS983049:ACV983049 AMO983049:AMR983049 AWK983049:AWN983049 BGG983049:BGJ983049 BQC983049:BQF983049 BZY983049:CAB983049 CJU983049:CJX983049 CTQ983049:CTT983049 DDM983049:DDP983049 DNI983049:DNL983049 DXE983049:DXH983049 EHA983049:EHD983049 EQW983049:EQZ983049 FAS983049:FAV983049 FKO983049:FKR983049 FUK983049:FUN983049 GEG983049:GEJ983049 GOC983049:GOF983049 GXY983049:GYB983049 HHU983049:HHX983049 HRQ983049:HRT983049 IBM983049:IBP983049 ILI983049:ILL983049 IVE983049:IVH983049 JFA983049:JFD983049 JOW983049:JOZ983049 JYS983049:JYV983049 KIO983049:KIR983049 KSK983049:KSN983049 LCG983049:LCJ983049 LMC983049:LMF983049 LVY983049:LWB983049 MFU983049:MFX983049 MPQ983049:MPT983049 MZM983049:MZP983049 NJI983049:NJL983049 NTE983049:NTH983049 ODA983049:ODD983049 OMW983049:OMZ983049 OWS983049:OWV983049 PGO983049:PGR983049 PQK983049:PQN983049 QAG983049:QAJ983049 QKC983049:QKF983049 QTY983049:QUB983049 RDU983049:RDX983049 RNQ983049:RNT983049 RXM983049:RXP983049 SHI983049:SHL983049 SRE983049:SRH983049 TBA983049:TBD983049 TKW983049:TKZ983049 TUS983049:TUV983049 UEO983049:UER983049 UOK983049:UON983049 UYG983049:UYJ983049 VIC983049:VIF983049 VRY983049:VSB983049 WBU983049:WBX983049 WLQ983049:WLT983049 WVM983049:WVP983049" xr:uid="{B6D3CFC3-A983-4EE6-BA63-97045B1474B0}">
      <formula1>#REF!</formula1>
    </dataValidation>
    <dataValidation type="list" allowBlank="1" showErrorMessage="1" errorTitle="Your input was incorrect" error="Choose your vehicle by clicking the arrow and selecting the correct vehicle" prompt="Choose your vehicle by clicking the arrow and selecting your vehicle" sqref="N983034:Q983034 JJ8:JM8 TF8:TI8 ADB8:ADE8 AMX8:ANA8 AWT8:AWW8 BGP8:BGS8 BQL8:BQO8 CAH8:CAK8 CKD8:CKG8 CTZ8:CUC8 DDV8:DDY8 DNR8:DNU8 DXN8:DXQ8 EHJ8:EHM8 ERF8:ERI8 FBB8:FBE8 FKX8:FLA8 FUT8:FUW8 GEP8:GES8 GOL8:GOO8 GYH8:GYK8 HID8:HIG8 HRZ8:HSC8 IBV8:IBY8 ILR8:ILU8 IVN8:IVQ8 JFJ8:JFM8 JPF8:JPI8 JZB8:JZE8 KIX8:KJA8 KST8:KSW8 LCP8:LCS8 LML8:LMO8 LWH8:LWK8 MGD8:MGG8 MPZ8:MQC8 MZV8:MZY8 NJR8:NJU8 NTN8:NTQ8 ODJ8:ODM8 ONF8:ONI8 OXB8:OXE8 PGX8:PHA8 PQT8:PQW8 QAP8:QAS8 QKL8:QKO8 QUH8:QUK8 RED8:REG8 RNZ8:ROC8 RXV8:RXY8 SHR8:SHU8 SRN8:SRQ8 TBJ8:TBM8 TLF8:TLI8 TVB8:TVE8 UEX8:UFA8 UOT8:UOW8 UYP8:UYS8 VIL8:VIO8 VSH8:VSK8 WCD8:WCG8 WLZ8:WMC8 WVV8:WVY8 N65530:Q65530 JJ65545:JM65545 TF65545:TI65545 ADB65545:ADE65545 AMX65545:ANA65545 AWT65545:AWW65545 BGP65545:BGS65545 BQL65545:BQO65545 CAH65545:CAK65545 CKD65545:CKG65545 CTZ65545:CUC65545 DDV65545:DDY65545 DNR65545:DNU65545 DXN65545:DXQ65545 EHJ65545:EHM65545 ERF65545:ERI65545 FBB65545:FBE65545 FKX65545:FLA65545 FUT65545:FUW65545 GEP65545:GES65545 GOL65545:GOO65545 GYH65545:GYK65545 HID65545:HIG65545 HRZ65545:HSC65545 IBV65545:IBY65545 ILR65545:ILU65545 IVN65545:IVQ65545 JFJ65545:JFM65545 JPF65545:JPI65545 JZB65545:JZE65545 KIX65545:KJA65545 KST65545:KSW65545 LCP65545:LCS65545 LML65545:LMO65545 LWH65545:LWK65545 MGD65545:MGG65545 MPZ65545:MQC65545 MZV65545:MZY65545 NJR65545:NJU65545 NTN65545:NTQ65545 ODJ65545:ODM65545 ONF65545:ONI65545 OXB65545:OXE65545 PGX65545:PHA65545 PQT65545:PQW65545 QAP65545:QAS65545 QKL65545:QKO65545 QUH65545:QUK65545 RED65545:REG65545 RNZ65545:ROC65545 RXV65545:RXY65545 SHR65545:SHU65545 SRN65545:SRQ65545 TBJ65545:TBM65545 TLF65545:TLI65545 TVB65545:TVE65545 UEX65545:UFA65545 UOT65545:UOW65545 UYP65545:UYS65545 VIL65545:VIO65545 VSH65545:VSK65545 WCD65545:WCG65545 WLZ65545:WMC65545 WVV65545:WVY65545 N131066:Q131066 JJ131081:JM131081 TF131081:TI131081 ADB131081:ADE131081 AMX131081:ANA131081 AWT131081:AWW131081 BGP131081:BGS131081 BQL131081:BQO131081 CAH131081:CAK131081 CKD131081:CKG131081 CTZ131081:CUC131081 DDV131081:DDY131081 DNR131081:DNU131081 DXN131081:DXQ131081 EHJ131081:EHM131081 ERF131081:ERI131081 FBB131081:FBE131081 FKX131081:FLA131081 FUT131081:FUW131081 GEP131081:GES131081 GOL131081:GOO131081 GYH131081:GYK131081 HID131081:HIG131081 HRZ131081:HSC131081 IBV131081:IBY131081 ILR131081:ILU131081 IVN131081:IVQ131081 JFJ131081:JFM131081 JPF131081:JPI131081 JZB131081:JZE131081 KIX131081:KJA131081 KST131081:KSW131081 LCP131081:LCS131081 LML131081:LMO131081 LWH131081:LWK131081 MGD131081:MGG131081 MPZ131081:MQC131081 MZV131081:MZY131081 NJR131081:NJU131081 NTN131081:NTQ131081 ODJ131081:ODM131081 ONF131081:ONI131081 OXB131081:OXE131081 PGX131081:PHA131081 PQT131081:PQW131081 QAP131081:QAS131081 QKL131081:QKO131081 QUH131081:QUK131081 RED131081:REG131081 RNZ131081:ROC131081 RXV131081:RXY131081 SHR131081:SHU131081 SRN131081:SRQ131081 TBJ131081:TBM131081 TLF131081:TLI131081 TVB131081:TVE131081 UEX131081:UFA131081 UOT131081:UOW131081 UYP131081:UYS131081 VIL131081:VIO131081 VSH131081:VSK131081 WCD131081:WCG131081 WLZ131081:WMC131081 WVV131081:WVY131081 N196602:Q196602 JJ196617:JM196617 TF196617:TI196617 ADB196617:ADE196617 AMX196617:ANA196617 AWT196617:AWW196617 BGP196617:BGS196617 BQL196617:BQO196617 CAH196617:CAK196617 CKD196617:CKG196617 CTZ196617:CUC196617 DDV196617:DDY196617 DNR196617:DNU196617 DXN196617:DXQ196617 EHJ196617:EHM196617 ERF196617:ERI196617 FBB196617:FBE196617 FKX196617:FLA196617 FUT196617:FUW196617 GEP196617:GES196617 GOL196617:GOO196617 GYH196617:GYK196617 HID196617:HIG196617 HRZ196617:HSC196617 IBV196617:IBY196617 ILR196617:ILU196617 IVN196617:IVQ196617 JFJ196617:JFM196617 JPF196617:JPI196617 JZB196617:JZE196617 KIX196617:KJA196617 KST196617:KSW196617 LCP196617:LCS196617 LML196617:LMO196617 LWH196617:LWK196617 MGD196617:MGG196617 MPZ196617:MQC196617 MZV196617:MZY196617 NJR196617:NJU196617 NTN196617:NTQ196617 ODJ196617:ODM196617 ONF196617:ONI196617 OXB196617:OXE196617 PGX196617:PHA196617 PQT196617:PQW196617 QAP196617:QAS196617 QKL196617:QKO196617 QUH196617:QUK196617 RED196617:REG196617 RNZ196617:ROC196617 RXV196617:RXY196617 SHR196617:SHU196617 SRN196617:SRQ196617 TBJ196617:TBM196617 TLF196617:TLI196617 TVB196617:TVE196617 UEX196617:UFA196617 UOT196617:UOW196617 UYP196617:UYS196617 VIL196617:VIO196617 VSH196617:VSK196617 WCD196617:WCG196617 WLZ196617:WMC196617 WVV196617:WVY196617 N262138:Q262138 JJ262153:JM262153 TF262153:TI262153 ADB262153:ADE262153 AMX262153:ANA262153 AWT262153:AWW262153 BGP262153:BGS262153 BQL262153:BQO262153 CAH262153:CAK262153 CKD262153:CKG262153 CTZ262153:CUC262153 DDV262153:DDY262153 DNR262153:DNU262153 DXN262153:DXQ262153 EHJ262153:EHM262153 ERF262153:ERI262153 FBB262153:FBE262153 FKX262153:FLA262153 FUT262153:FUW262153 GEP262153:GES262153 GOL262153:GOO262153 GYH262153:GYK262153 HID262153:HIG262153 HRZ262153:HSC262153 IBV262153:IBY262153 ILR262153:ILU262153 IVN262153:IVQ262153 JFJ262153:JFM262153 JPF262153:JPI262153 JZB262153:JZE262153 KIX262153:KJA262153 KST262153:KSW262153 LCP262153:LCS262153 LML262153:LMO262153 LWH262153:LWK262153 MGD262153:MGG262153 MPZ262153:MQC262153 MZV262153:MZY262153 NJR262153:NJU262153 NTN262153:NTQ262153 ODJ262153:ODM262153 ONF262153:ONI262153 OXB262153:OXE262153 PGX262153:PHA262153 PQT262153:PQW262153 QAP262153:QAS262153 QKL262153:QKO262153 QUH262153:QUK262153 RED262153:REG262153 RNZ262153:ROC262153 RXV262153:RXY262153 SHR262153:SHU262153 SRN262153:SRQ262153 TBJ262153:TBM262153 TLF262153:TLI262153 TVB262153:TVE262153 UEX262153:UFA262153 UOT262153:UOW262153 UYP262153:UYS262153 VIL262153:VIO262153 VSH262153:VSK262153 WCD262153:WCG262153 WLZ262153:WMC262153 WVV262153:WVY262153 N327674:Q327674 JJ327689:JM327689 TF327689:TI327689 ADB327689:ADE327689 AMX327689:ANA327689 AWT327689:AWW327689 BGP327689:BGS327689 BQL327689:BQO327689 CAH327689:CAK327689 CKD327689:CKG327689 CTZ327689:CUC327689 DDV327689:DDY327689 DNR327689:DNU327689 DXN327689:DXQ327689 EHJ327689:EHM327689 ERF327689:ERI327689 FBB327689:FBE327689 FKX327689:FLA327689 FUT327689:FUW327689 GEP327689:GES327689 GOL327689:GOO327689 GYH327689:GYK327689 HID327689:HIG327689 HRZ327689:HSC327689 IBV327689:IBY327689 ILR327689:ILU327689 IVN327689:IVQ327689 JFJ327689:JFM327689 JPF327689:JPI327689 JZB327689:JZE327689 KIX327689:KJA327689 KST327689:KSW327689 LCP327689:LCS327689 LML327689:LMO327689 LWH327689:LWK327689 MGD327689:MGG327689 MPZ327689:MQC327689 MZV327689:MZY327689 NJR327689:NJU327689 NTN327689:NTQ327689 ODJ327689:ODM327689 ONF327689:ONI327689 OXB327689:OXE327689 PGX327689:PHA327689 PQT327689:PQW327689 QAP327689:QAS327689 QKL327689:QKO327689 QUH327689:QUK327689 RED327689:REG327689 RNZ327689:ROC327689 RXV327689:RXY327689 SHR327689:SHU327689 SRN327689:SRQ327689 TBJ327689:TBM327689 TLF327689:TLI327689 TVB327689:TVE327689 UEX327689:UFA327689 UOT327689:UOW327689 UYP327689:UYS327689 VIL327689:VIO327689 VSH327689:VSK327689 WCD327689:WCG327689 WLZ327689:WMC327689 WVV327689:WVY327689 N393210:Q393210 JJ393225:JM393225 TF393225:TI393225 ADB393225:ADE393225 AMX393225:ANA393225 AWT393225:AWW393225 BGP393225:BGS393225 BQL393225:BQO393225 CAH393225:CAK393225 CKD393225:CKG393225 CTZ393225:CUC393225 DDV393225:DDY393225 DNR393225:DNU393225 DXN393225:DXQ393225 EHJ393225:EHM393225 ERF393225:ERI393225 FBB393225:FBE393225 FKX393225:FLA393225 FUT393225:FUW393225 GEP393225:GES393225 GOL393225:GOO393225 GYH393225:GYK393225 HID393225:HIG393225 HRZ393225:HSC393225 IBV393225:IBY393225 ILR393225:ILU393225 IVN393225:IVQ393225 JFJ393225:JFM393225 JPF393225:JPI393225 JZB393225:JZE393225 KIX393225:KJA393225 KST393225:KSW393225 LCP393225:LCS393225 LML393225:LMO393225 LWH393225:LWK393225 MGD393225:MGG393225 MPZ393225:MQC393225 MZV393225:MZY393225 NJR393225:NJU393225 NTN393225:NTQ393225 ODJ393225:ODM393225 ONF393225:ONI393225 OXB393225:OXE393225 PGX393225:PHA393225 PQT393225:PQW393225 QAP393225:QAS393225 QKL393225:QKO393225 QUH393225:QUK393225 RED393225:REG393225 RNZ393225:ROC393225 RXV393225:RXY393225 SHR393225:SHU393225 SRN393225:SRQ393225 TBJ393225:TBM393225 TLF393225:TLI393225 TVB393225:TVE393225 UEX393225:UFA393225 UOT393225:UOW393225 UYP393225:UYS393225 VIL393225:VIO393225 VSH393225:VSK393225 WCD393225:WCG393225 WLZ393225:WMC393225 WVV393225:WVY393225 N458746:Q458746 JJ458761:JM458761 TF458761:TI458761 ADB458761:ADE458761 AMX458761:ANA458761 AWT458761:AWW458761 BGP458761:BGS458761 BQL458761:BQO458761 CAH458761:CAK458761 CKD458761:CKG458761 CTZ458761:CUC458761 DDV458761:DDY458761 DNR458761:DNU458761 DXN458761:DXQ458761 EHJ458761:EHM458761 ERF458761:ERI458761 FBB458761:FBE458761 FKX458761:FLA458761 FUT458761:FUW458761 GEP458761:GES458761 GOL458761:GOO458761 GYH458761:GYK458761 HID458761:HIG458761 HRZ458761:HSC458761 IBV458761:IBY458761 ILR458761:ILU458761 IVN458761:IVQ458761 JFJ458761:JFM458761 JPF458761:JPI458761 JZB458761:JZE458761 KIX458761:KJA458761 KST458761:KSW458761 LCP458761:LCS458761 LML458761:LMO458761 LWH458761:LWK458761 MGD458761:MGG458761 MPZ458761:MQC458761 MZV458761:MZY458761 NJR458761:NJU458761 NTN458761:NTQ458761 ODJ458761:ODM458761 ONF458761:ONI458761 OXB458761:OXE458761 PGX458761:PHA458761 PQT458761:PQW458761 QAP458761:QAS458761 QKL458761:QKO458761 QUH458761:QUK458761 RED458761:REG458761 RNZ458761:ROC458761 RXV458761:RXY458761 SHR458761:SHU458761 SRN458761:SRQ458761 TBJ458761:TBM458761 TLF458761:TLI458761 TVB458761:TVE458761 UEX458761:UFA458761 UOT458761:UOW458761 UYP458761:UYS458761 VIL458761:VIO458761 VSH458761:VSK458761 WCD458761:WCG458761 WLZ458761:WMC458761 WVV458761:WVY458761 N524282:Q524282 JJ524297:JM524297 TF524297:TI524297 ADB524297:ADE524297 AMX524297:ANA524297 AWT524297:AWW524297 BGP524297:BGS524297 BQL524297:BQO524297 CAH524297:CAK524297 CKD524297:CKG524297 CTZ524297:CUC524297 DDV524297:DDY524297 DNR524297:DNU524297 DXN524297:DXQ524297 EHJ524297:EHM524297 ERF524297:ERI524297 FBB524297:FBE524297 FKX524297:FLA524297 FUT524297:FUW524297 GEP524297:GES524297 GOL524297:GOO524297 GYH524297:GYK524297 HID524297:HIG524297 HRZ524297:HSC524297 IBV524297:IBY524297 ILR524297:ILU524297 IVN524297:IVQ524297 JFJ524297:JFM524297 JPF524297:JPI524297 JZB524297:JZE524297 KIX524297:KJA524297 KST524297:KSW524297 LCP524297:LCS524297 LML524297:LMO524297 LWH524297:LWK524297 MGD524297:MGG524297 MPZ524297:MQC524297 MZV524297:MZY524297 NJR524297:NJU524297 NTN524297:NTQ524297 ODJ524297:ODM524297 ONF524297:ONI524297 OXB524297:OXE524297 PGX524297:PHA524297 PQT524297:PQW524297 QAP524297:QAS524297 QKL524297:QKO524297 QUH524297:QUK524297 RED524297:REG524297 RNZ524297:ROC524297 RXV524297:RXY524297 SHR524297:SHU524297 SRN524297:SRQ524297 TBJ524297:TBM524297 TLF524297:TLI524297 TVB524297:TVE524297 UEX524297:UFA524297 UOT524297:UOW524297 UYP524297:UYS524297 VIL524297:VIO524297 VSH524297:VSK524297 WCD524297:WCG524297 WLZ524297:WMC524297 WVV524297:WVY524297 N589818:Q589818 JJ589833:JM589833 TF589833:TI589833 ADB589833:ADE589833 AMX589833:ANA589833 AWT589833:AWW589833 BGP589833:BGS589833 BQL589833:BQO589833 CAH589833:CAK589833 CKD589833:CKG589833 CTZ589833:CUC589833 DDV589833:DDY589833 DNR589833:DNU589833 DXN589833:DXQ589833 EHJ589833:EHM589833 ERF589833:ERI589833 FBB589833:FBE589833 FKX589833:FLA589833 FUT589833:FUW589833 GEP589833:GES589833 GOL589833:GOO589833 GYH589833:GYK589833 HID589833:HIG589833 HRZ589833:HSC589833 IBV589833:IBY589833 ILR589833:ILU589833 IVN589833:IVQ589833 JFJ589833:JFM589833 JPF589833:JPI589833 JZB589833:JZE589833 KIX589833:KJA589833 KST589833:KSW589833 LCP589833:LCS589833 LML589833:LMO589833 LWH589833:LWK589833 MGD589833:MGG589833 MPZ589833:MQC589833 MZV589833:MZY589833 NJR589833:NJU589833 NTN589833:NTQ589833 ODJ589833:ODM589833 ONF589833:ONI589833 OXB589833:OXE589833 PGX589833:PHA589833 PQT589833:PQW589833 QAP589833:QAS589833 QKL589833:QKO589833 QUH589833:QUK589833 RED589833:REG589833 RNZ589833:ROC589833 RXV589833:RXY589833 SHR589833:SHU589833 SRN589833:SRQ589833 TBJ589833:TBM589833 TLF589833:TLI589833 TVB589833:TVE589833 UEX589833:UFA589833 UOT589833:UOW589833 UYP589833:UYS589833 VIL589833:VIO589833 VSH589833:VSK589833 WCD589833:WCG589833 WLZ589833:WMC589833 WVV589833:WVY589833 N655354:Q655354 JJ655369:JM655369 TF655369:TI655369 ADB655369:ADE655369 AMX655369:ANA655369 AWT655369:AWW655369 BGP655369:BGS655369 BQL655369:BQO655369 CAH655369:CAK655369 CKD655369:CKG655369 CTZ655369:CUC655369 DDV655369:DDY655369 DNR655369:DNU655369 DXN655369:DXQ655369 EHJ655369:EHM655369 ERF655369:ERI655369 FBB655369:FBE655369 FKX655369:FLA655369 FUT655369:FUW655369 GEP655369:GES655369 GOL655369:GOO655369 GYH655369:GYK655369 HID655369:HIG655369 HRZ655369:HSC655369 IBV655369:IBY655369 ILR655369:ILU655369 IVN655369:IVQ655369 JFJ655369:JFM655369 JPF655369:JPI655369 JZB655369:JZE655369 KIX655369:KJA655369 KST655369:KSW655369 LCP655369:LCS655369 LML655369:LMO655369 LWH655369:LWK655369 MGD655369:MGG655369 MPZ655369:MQC655369 MZV655369:MZY655369 NJR655369:NJU655369 NTN655369:NTQ655369 ODJ655369:ODM655369 ONF655369:ONI655369 OXB655369:OXE655369 PGX655369:PHA655369 PQT655369:PQW655369 QAP655369:QAS655369 QKL655369:QKO655369 QUH655369:QUK655369 RED655369:REG655369 RNZ655369:ROC655369 RXV655369:RXY655369 SHR655369:SHU655369 SRN655369:SRQ655369 TBJ655369:TBM655369 TLF655369:TLI655369 TVB655369:TVE655369 UEX655369:UFA655369 UOT655369:UOW655369 UYP655369:UYS655369 VIL655369:VIO655369 VSH655369:VSK655369 WCD655369:WCG655369 WLZ655369:WMC655369 WVV655369:WVY655369 N720890:Q720890 JJ720905:JM720905 TF720905:TI720905 ADB720905:ADE720905 AMX720905:ANA720905 AWT720905:AWW720905 BGP720905:BGS720905 BQL720905:BQO720905 CAH720905:CAK720905 CKD720905:CKG720905 CTZ720905:CUC720905 DDV720905:DDY720905 DNR720905:DNU720905 DXN720905:DXQ720905 EHJ720905:EHM720905 ERF720905:ERI720905 FBB720905:FBE720905 FKX720905:FLA720905 FUT720905:FUW720905 GEP720905:GES720905 GOL720905:GOO720905 GYH720905:GYK720905 HID720905:HIG720905 HRZ720905:HSC720905 IBV720905:IBY720905 ILR720905:ILU720905 IVN720905:IVQ720905 JFJ720905:JFM720905 JPF720905:JPI720905 JZB720905:JZE720905 KIX720905:KJA720905 KST720905:KSW720905 LCP720905:LCS720905 LML720905:LMO720905 LWH720905:LWK720905 MGD720905:MGG720905 MPZ720905:MQC720905 MZV720905:MZY720905 NJR720905:NJU720905 NTN720905:NTQ720905 ODJ720905:ODM720905 ONF720905:ONI720905 OXB720905:OXE720905 PGX720905:PHA720905 PQT720905:PQW720905 QAP720905:QAS720905 QKL720905:QKO720905 QUH720905:QUK720905 RED720905:REG720905 RNZ720905:ROC720905 RXV720905:RXY720905 SHR720905:SHU720905 SRN720905:SRQ720905 TBJ720905:TBM720905 TLF720905:TLI720905 TVB720905:TVE720905 UEX720905:UFA720905 UOT720905:UOW720905 UYP720905:UYS720905 VIL720905:VIO720905 VSH720905:VSK720905 WCD720905:WCG720905 WLZ720905:WMC720905 WVV720905:WVY720905 N786426:Q786426 JJ786441:JM786441 TF786441:TI786441 ADB786441:ADE786441 AMX786441:ANA786441 AWT786441:AWW786441 BGP786441:BGS786441 BQL786441:BQO786441 CAH786441:CAK786441 CKD786441:CKG786441 CTZ786441:CUC786441 DDV786441:DDY786441 DNR786441:DNU786441 DXN786441:DXQ786441 EHJ786441:EHM786441 ERF786441:ERI786441 FBB786441:FBE786441 FKX786441:FLA786441 FUT786441:FUW786441 GEP786441:GES786441 GOL786441:GOO786441 GYH786441:GYK786441 HID786441:HIG786441 HRZ786441:HSC786441 IBV786441:IBY786441 ILR786441:ILU786441 IVN786441:IVQ786441 JFJ786441:JFM786441 JPF786441:JPI786441 JZB786441:JZE786441 KIX786441:KJA786441 KST786441:KSW786441 LCP786441:LCS786441 LML786441:LMO786441 LWH786441:LWK786441 MGD786441:MGG786441 MPZ786441:MQC786441 MZV786441:MZY786441 NJR786441:NJU786441 NTN786441:NTQ786441 ODJ786441:ODM786441 ONF786441:ONI786441 OXB786441:OXE786441 PGX786441:PHA786441 PQT786441:PQW786441 QAP786441:QAS786441 QKL786441:QKO786441 QUH786441:QUK786441 RED786441:REG786441 RNZ786441:ROC786441 RXV786441:RXY786441 SHR786441:SHU786441 SRN786441:SRQ786441 TBJ786441:TBM786441 TLF786441:TLI786441 TVB786441:TVE786441 UEX786441:UFA786441 UOT786441:UOW786441 UYP786441:UYS786441 VIL786441:VIO786441 VSH786441:VSK786441 WCD786441:WCG786441 WLZ786441:WMC786441 WVV786441:WVY786441 N851962:Q851962 JJ851977:JM851977 TF851977:TI851977 ADB851977:ADE851977 AMX851977:ANA851977 AWT851977:AWW851977 BGP851977:BGS851977 BQL851977:BQO851977 CAH851977:CAK851977 CKD851977:CKG851977 CTZ851977:CUC851977 DDV851977:DDY851977 DNR851977:DNU851977 DXN851977:DXQ851977 EHJ851977:EHM851977 ERF851977:ERI851977 FBB851977:FBE851977 FKX851977:FLA851977 FUT851977:FUW851977 GEP851977:GES851977 GOL851977:GOO851977 GYH851977:GYK851977 HID851977:HIG851977 HRZ851977:HSC851977 IBV851977:IBY851977 ILR851977:ILU851977 IVN851977:IVQ851977 JFJ851977:JFM851977 JPF851977:JPI851977 JZB851977:JZE851977 KIX851977:KJA851977 KST851977:KSW851977 LCP851977:LCS851977 LML851977:LMO851977 LWH851977:LWK851977 MGD851977:MGG851977 MPZ851977:MQC851977 MZV851977:MZY851977 NJR851977:NJU851977 NTN851977:NTQ851977 ODJ851977:ODM851977 ONF851977:ONI851977 OXB851977:OXE851977 PGX851977:PHA851977 PQT851977:PQW851977 QAP851977:QAS851977 QKL851977:QKO851977 QUH851977:QUK851977 RED851977:REG851977 RNZ851977:ROC851977 RXV851977:RXY851977 SHR851977:SHU851977 SRN851977:SRQ851977 TBJ851977:TBM851977 TLF851977:TLI851977 TVB851977:TVE851977 UEX851977:UFA851977 UOT851977:UOW851977 UYP851977:UYS851977 VIL851977:VIO851977 VSH851977:VSK851977 WCD851977:WCG851977 WLZ851977:WMC851977 WVV851977:WVY851977 N917498:Q917498 JJ917513:JM917513 TF917513:TI917513 ADB917513:ADE917513 AMX917513:ANA917513 AWT917513:AWW917513 BGP917513:BGS917513 BQL917513:BQO917513 CAH917513:CAK917513 CKD917513:CKG917513 CTZ917513:CUC917513 DDV917513:DDY917513 DNR917513:DNU917513 DXN917513:DXQ917513 EHJ917513:EHM917513 ERF917513:ERI917513 FBB917513:FBE917513 FKX917513:FLA917513 FUT917513:FUW917513 GEP917513:GES917513 GOL917513:GOO917513 GYH917513:GYK917513 HID917513:HIG917513 HRZ917513:HSC917513 IBV917513:IBY917513 ILR917513:ILU917513 IVN917513:IVQ917513 JFJ917513:JFM917513 JPF917513:JPI917513 JZB917513:JZE917513 KIX917513:KJA917513 KST917513:KSW917513 LCP917513:LCS917513 LML917513:LMO917513 LWH917513:LWK917513 MGD917513:MGG917513 MPZ917513:MQC917513 MZV917513:MZY917513 NJR917513:NJU917513 NTN917513:NTQ917513 ODJ917513:ODM917513 ONF917513:ONI917513 OXB917513:OXE917513 PGX917513:PHA917513 PQT917513:PQW917513 QAP917513:QAS917513 QKL917513:QKO917513 QUH917513:QUK917513 RED917513:REG917513 RNZ917513:ROC917513 RXV917513:RXY917513 SHR917513:SHU917513 SRN917513:SRQ917513 TBJ917513:TBM917513 TLF917513:TLI917513 TVB917513:TVE917513 UEX917513:UFA917513 UOT917513:UOW917513 UYP917513:UYS917513 VIL917513:VIO917513 VSH917513:VSK917513 WCD917513:WCG917513 WLZ917513:WMC917513 WVV917513:WVY917513 JJ983049:JM983049 TF983049:TI983049 ADB983049:ADE983049 AMX983049:ANA983049 AWT983049:AWW983049 BGP983049:BGS983049 BQL983049:BQO983049 CAH983049:CAK983049 CKD983049:CKG983049 CTZ983049:CUC983049 DDV983049:DDY983049 DNR983049:DNU983049 DXN983049:DXQ983049 EHJ983049:EHM983049 ERF983049:ERI983049 FBB983049:FBE983049 FKX983049:FLA983049 FUT983049:FUW983049 GEP983049:GES983049 GOL983049:GOO983049 GYH983049:GYK983049 HID983049:HIG983049 HRZ983049:HSC983049 IBV983049:IBY983049 ILR983049:ILU983049 IVN983049:IVQ983049 JFJ983049:JFM983049 JPF983049:JPI983049 JZB983049:JZE983049 KIX983049:KJA983049 KST983049:KSW983049 LCP983049:LCS983049 LML983049:LMO983049 LWH983049:LWK983049 MGD983049:MGG983049 MPZ983049:MQC983049 MZV983049:MZY983049 NJR983049:NJU983049 NTN983049:NTQ983049 ODJ983049:ODM983049 ONF983049:ONI983049 OXB983049:OXE983049 PGX983049:PHA983049 PQT983049:PQW983049 QAP983049:QAS983049 QKL983049:QKO983049 QUH983049:QUK983049 RED983049:REG983049 RNZ983049:ROC983049 RXV983049:RXY983049 SHR983049:SHU983049 SRN983049:SRQ983049 TBJ983049:TBM983049 TLF983049:TLI983049 TVB983049:TVE983049 UEX983049:UFA983049 UOT983049:UOW983049 UYP983049:UYS983049 VIL983049:VIO983049 VSH983049:VSK983049 WCD983049:WCG983049 WLZ983049:WMC983049 WVV983049:WVY983049" xr:uid="{3E8C501F-F98A-4AE5-9E51-E43A8DA0D40E}">
      <formula1>#REF!</formula1>
    </dataValidation>
    <dataValidation type="list" allowBlank="1" showInputMessage="1" showErrorMessage="1" sqref="N983035:Q983035 JJ9:JM9 TF9:TI9 ADB9:ADE9 AMX9:ANA9 AWT9:AWW9 BGP9:BGS9 BQL9:BQO9 CAH9:CAK9 CKD9:CKG9 CTZ9:CUC9 DDV9:DDY9 DNR9:DNU9 DXN9:DXQ9 EHJ9:EHM9 ERF9:ERI9 FBB9:FBE9 FKX9:FLA9 FUT9:FUW9 GEP9:GES9 GOL9:GOO9 GYH9:GYK9 HID9:HIG9 HRZ9:HSC9 IBV9:IBY9 ILR9:ILU9 IVN9:IVQ9 JFJ9:JFM9 JPF9:JPI9 JZB9:JZE9 KIX9:KJA9 KST9:KSW9 LCP9:LCS9 LML9:LMO9 LWH9:LWK9 MGD9:MGG9 MPZ9:MQC9 MZV9:MZY9 NJR9:NJU9 NTN9:NTQ9 ODJ9:ODM9 ONF9:ONI9 OXB9:OXE9 PGX9:PHA9 PQT9:PQW9 QAP9:QAS9 QKL9:QKO9 QUH9:QUK9 RED9:REG9 RNZ9:ROC9 RXV9:RXY9 SHR9:SHU9 SRN9:SRQ9 TBJ9:TBM9 TLF9:TLI9 TVB9:TVE9 UEX9:UFA9 UOT9:UOW9 UYP9:UYS9 VIL9:VIO9 VSH9:VSK9 WCD9:WCG9 WLZ9:WMC9 WVV9:WVY9 N65531:Q65531 JJ65546:JM65546 TF65546:TI65546 ADB65546:ADE65546 AMX65546:ANA65546 AWT65546:AWW65546 BGP65546:BGS65546 BQL65546:BQO65546 CAH65546:CAK65546 CKD65546:CKG65546 CTZ65546:CUC65546 DDV65546:DDY65546 DNR65546:DNU65546 DXN65546:DXQ65546 EHJ65546:EHM65546 ERF65546:ERI65546 FBB65546:FBE65546 FKX65546:FLA65546 FUT65546:FUW65546 GEP65546:GES65546 GOL65546:GOO65546 GYH65546:GYK65546 HID65546:HIG65546 HRZ65546:HSC65546 IBV65546:IBY65546 ILR65546:ILU65546 IVN65546:IVQ65546 JFJ65546:JFM65546 JPF65546:JPI65546 JZB65546:JZE65546 KIX65546:KJA65546 KST65546:KSW65546 LCP65546:LCS65546 LML65546:LMO65546 LWH65546:LWK65546 MGD65546:MGG65546 MPZ65546:MQC65546 MZV65546:MZY65546 NJR65546:NJU65546 NTN65546:NTQ65546 ODJ65546:ODM65546 ONF65546:ONI65546 OXB65546:OXE65546 PGX65546:PHA65546 PQT65546:PQW65546 QAP65546:QAS65546 QKL65546:QKO65546 QUH65546:QUK65546 RED65546:REG65546 RNZ65546:ROC65546 RXV65546:RXY65546 SHR65546:SHU65546 SRN65546:SRQ65546 TBJ65546:TBM65546 TLF65546:TLI65546 TVB65546:TVE65546 UEX65546:UFA65546 UOT65546:UOW65546 UYP65546:UYS65546 VIL65546:VIO65546 VSH65546:VSK65546 WCD65546:WCG65546 WLZ65546:WMC65546 WVV65546:WVY65546 N131067:Q131067 JJ131082:JM131082 TF131082:TI131082 ADB131082:ADE131082 AMX131082:ANA131082 AWT131082:AWW131082 BGP131082:BGS131082 BQL131082:BQO131082 CAH131082:CAK131082 CKD131082:CKG131082 CTZ131082:CUC131082 DDV131082:DDY131082 DNR131082:DNU131082 DXN131082:DXQ131082 EHJ131082:EHM131082 ERF131082:ERI131082 FBB131082:FBE131082 FKX131082:FLA131082 FUT131082:FUW131082 GEP131082:GES131082 GOL131082:GOO131082 GYH131082:GYK131082 HID131082:HIG131082 HRZ131082:HSC131082 IBV131082:IBY131082 ILR131082:ILU131082 IVN131082:IVQ131082 JFJ131082:JFM131082 JPF131082:JPI131082 JZB131082:JZE131082 KIX131082:KJA131082 KST131082:KSW131082 LCP131082:LCS131082 LML131082:LMO131082 LWH131082:LWK131082 MGD131082:MGG131082 MPZ131082:MQC131082 MZV131082:MZY131082 NJR131082:NJU131082 NTN131082:NTQ131082 ODJ131082:ODM131082 ONF131082:ONI131082 OXB131082:OXE131082 PGX131082:PHA131082 PQT131082:PQW131082 QAP131082:QAS131082 QKL131082:QKO131082 QUH131082:QUK131082 RED131082:REG131082 RNZ131082:ROC131082 RXV131082:RXY131082 SHR131082:SHU131082 SRN131082:SRQ131082 TBJ131082:TBM131082 TLF131082:TLI131082 TVB131082:TVE131082 UEX131082:UFA131082 UOT131082:UOW131082 UYP131082:UYS131082 VIL131082:VIO131082 VSH131082:VSK131082 WCD131082:WCG131082 WLZ131082:WMC131082 WVV131082:WVY131082 N196603:Q196603 JJ196618:JM196618 TF196618:TI196618 ADB196618:ADE196618 AMX196618:ANA196618 AWT196618:AWW196618 BGP196618:BGS196618 BQL196618:BQO196618 CAH196618:CAK196618 CKD196618:CKG196618 CTZ196618:CUC196618 DDV196618:DDY196618 DNR196618:DNU196618 DXN196618:DXQ196618 EHJ196618:EHM196618 ERF196618:ERI196618 FBB196618:FBE196618 FKX196618:FLA196618 FUT196618:FUW196618 GEP196618:GES196618 GOL196618:GOO196618 GYH196618:GYK196618 HID196618:HIG196618 HRZ196618:HSC196618 IBV196618:IBY196618 ILR196618:ILU196618 IVN196618:IVQ196618 JFJ196618:JFM196618 JPF196618:JPI196618 JZB196618:JZE196618 KIX196618:KJA196618 KST196618:KSW196618 LCP196618:LCS196618 LML196618:LMO196618 LWH196618:LWK196618 MGD196618:MGG196618 MPZ196618:MQC196618 MZV196618:MZY196618 NJR196618:NJU196618 NTN196618:NTQ196618 ODJ196618:ODM196618 ONF196618:ONI196618 OXB196618:OXE196618 PGX196618:PHA196618 PQT196618:PQW196618 QAP196618:QAS196618 QKL196618:QKO196618 QUH196618:QUK196618 RED196618:REG196618 RNZ196618:ROC196618 RXV196618:RXY196618 SHR196618:SHU196618 SRN196618:SRQ196618 TBJ196618:TBM196618 TLF196618:TLI196618 TVB196618:TVE196618 UEX196618:UFA196618 UOT196618:UOW196618 UYP196618:UYS196618 VIL196618:VIO196618 VSH196618:VSK196618 WCD196618:WCG196618 WLZ196618:WMC196618 WVV196618:WVY196618 N262139:Q262139 JJ262154:JM262154 TF262154:TI262154 ADB262154:ADE262154 AMX262154:ANA262154 AWT262154:AWW262154 BGP262154:BGS262154 BQL262154:BQO262154 CAH262154:CAK262154 CKD262154:CKG262154 CTZ262154:CUC262154 DDV262154:DDY262154 DNR262154:DNU262154 DXN262154:DXQ262154 EHJ262154:EHM262154 ERF262154:ERI262154 FBB262154:FBE262154 FKX262154:FLA262154 FUT262154:FUW262154 GEP262154:GES262154 GOL262154:GOO262154 GYH262154:GYK262154 HID262154:HIG262154 HRZ262154:HSC262154 IBV262154:IBY262154 ILR262154:ILU262154 IVN262154:IVQ262154 JFJ262154:JFM262154 JPF262154:JPI262154 JZB262154:JZE262154 KIX262154:KJA262154 KST262154:KSW262154 LCP262154:LCS262154 LML262154:LMO262154 LWH262154:LWK262154 MGD262154:MGG262154 MPZ262154:MQC262154 MZV262154:MZY262154 NJR262154:NJU262154 NTN262154:NTQ262154 ODJ262154:ODM262154 ONF262154:ONI262154 OXB262154:OXE262154 PGX262154:PHA262154 PQT262154:PQW262154 QAP262154:QAS262154 QKL262154:QKO262154 QUH262154:QUK262154 RED262154:REG262154 RNZ262154:ROC262154 RXV262154:RXY262154 SHR262154:SHU262154 SRN262154:SRQ262154 TBJ262154:TBM262154 TLF262154:TLI262154 TVB262154:TVE262154 UEX262154:UFA262154 UOT262154:UOW262154 UYP262154:UYS262154 VIL262154:VIO262154 VSH262154:VSK262154 WCD262154:WCG262154 WLZ262154:WMC262154 WVV262154:WVY262154 N327675:Q327675 JJ327690:JM327690 TF327690:TI327690 ADB327690:ADE327690 AMX327690:ANA327690 AWT327690:AWW327690 BGP327690:BGS327690 BQL327690:BQO327690 CAH327690:CAK327690 CKD327690:CKG327690 CTZ327690:CUC327690 DDV327690:DDY327690 DNR327690:DNU327690 DXN327690:DXQ327690 EHJ327690:EHM327690 ERF327690:ERI327690 FBB327690:FBE327690 FKX327690:FLA327690 FUT327690:FUW327690 GEP327690:GES327690 GOL327690:GOO327690 GYH327690:GYK327690 HID327690:HIG327690 HRZ327690:HSC327690 IBV327690:IBY327690 ILR327690:ILU327690 IVN327690:IVQ327690 JFJ327690:JFM327690 JPF327690:JPI327690 JZB327690:JZE327690 KIX327690:KJA327690 KST327690:KSW327690 LCP327690:LCS327690 LML327690:LMO327690 LWH327690:LWK327690 MGD327690:MGG327690 MPZ327690:MQC327690 MZV327690:MZY327690 NJR327690:NJU327690 NTN327690:NTQ327690 ODJ327690:ODM327690 ONF327690:ONI327690 OXB327690:OXE327690 PGX327690:PHA327690 PQT327690:PQW327690 QAP327690:QAS327690 QKL327690:QKO327690 QUH327690:QUK327690 RED327690:REG327690 RNZ327690:ROC327690 RXV327690:RXY327690 SHR327690:SHU327690 SRN327690:SRQ327690 TBJ327690:TBM327690 TLF327690:TLI327690 TVB327690:TVE327690 UEX327690:UFA327690 UOT327690:UOW327690 UYP327690:UYS327690 VIL327690:VIO327690 VSH327690:VSK327690 WCD327690:WCG327690 WLZ327690:WMC327690 WVV327690:WVY327690 N393211:Q393211 JJ393226:JM393226 TF393226:TI393226 ADB393226:ADE393226 AMX393226:ANA393226 AWT393226:AWW393226 BGP393226:BGS393226 BQL393226:BQO393226 CAH393226:CAK393226 CKD393226:CKG393226 CTZ393226:CUC393226 DDV393226:DDY393226 DNR393226:DNU393226 DXN393226:DXQ393226 EHJ393226:EHM393226 ERF393226:ERI393226 FBB393226:FBE393226 FKX393226:FLA393226 FUT393226:FUW393226 GEP393226:GES393226 GOL393226:GOO393226 GYH393226:GYK393226 HID393226:HIG393226 HRZ393226:HSC393226 IBV393226:IBY393226 ILR393226:ILU393226 IVN393226:IVQ393226 JFJ393226:JFM393226 JPF393226:JPI393226 JZB393226:JZE393226 KIX393226:KJA393226 KST393226:KSW393226 LCP393226:LCS393226 LML393226:LMO393226 LWH393226:LWK393226 MGD393226:MGG393226 MPZ393226:MQC393226 MZV393226:MZY393226 NJR393226:NJU393226 NTN393226:NTQ393226 ODJ393226:ODM393226 ONF393226:ONI393226 OXB393226:OXE393226 PGX393226:PHA393226 PQT393226:PQW393226 QAP393226:QAS393226 QKL393226:QKO393226 QUH393226:QUK393226 RED393226:REG393226 RNZ393226:ROC393226 RXV393226:RXY393226 SHR393226:SHU393226 SRN393226:SRQ393226 TBJ393226:TBM393226 TLF393226:TLI393226 TVB393226:TVE393226 UEX393226:UFA393226 UOT393226:UOW393226 UYP393226:UYS393226 VIL393226:VIO393226 VSH393226:VSK393226 WCD393226:WCG393226 WLZ393226:WMC393226 WVV393226:WVY393226 N458747:Q458747 JJ458762:JM458762 TF458762:TI458762 ADB458762:ADE458762 AMX458762:ANA458762 AWT458762:AWW458762 BGP458762:BGS458762 BQL458762:BQO458762 CAH458762:CAK458762 CKD458762:CKG458762 CTZ458762:CUC458762 DDV458762:DDY458762 DNR458762:DNU458762 DXN458762:DXQ458762 EHJ458762:EHM458762 ERF458762:ERI458762 FBB458762:FBE458762 FKX458762:FLA458762 FUT458762:FUW458762 GEP458762:GES458762 GOL458762:GOO458762 GYH458762:GYK458762 HID458762:HIG458762 HRZ458762:HSC458762 IBV458762:IBY458762 ILR458762:ILU458762 IVN458762:IVQ458762 JFJ458762:JFM458762 JPF458762:JPI458762 JZB458762:JZE458762 KIX458762:KJA458762 KST458762:KSW458762 LCP458762:LCS458762 LML458762:LMO458762 LWH458762:LWK458762 MGD458762:MGG458762 MPZ458762:MQC458762 MZV458762:MZY458762 NJR458762:NJU458762 NTN458762:NTQ458762 ODJ458762:ODM458762 ONF458762:ONI458762 OXB458762:OXE458762 PGX458762:PHA458762 PQT458762:PQW458762 QAP458762:QAS458762 QKL458762:QKO458762 QUH458762:QUK458762 RED458762:REG458762 RNZ458762:ROC458762 RXV458762:RXY458762 SHR458762:SHU458762 SRN458762:SRQ458762 TBJ458762:TBM458762 TLF458762:TLI458762 TVB458762:TVE458762 UEX458762:UFA458762 UOT458762:UOW458762 UYP458762:UYS458762 VIL458762:VIO458762 VSH458762:VSK458762 WCD458762:WCG458762 WLZ458762:WMC458762 WVV458762:WVY458762 N524283:Q524283 JJ524298:JM524298 TF524298:TI524298 ADB524298:ADE524298 AMX524298:ANA524298 AWT524298:AWW524298 BGP524298:BGS524298 BQL524298:BQO524298 CAH524298:CAK524298 CKD524298:CKG524298 CTZ524298:CUC524298 DDV524298:DDY524298 DNR524298:DNU524298 DXN524298:DXQ524298 EHJ524298:EHM524298 ERF524298:ERI524298 FBB524298:FBE524298 FKX524298:FLA524298 FUT524298:FUW524298 GEP524298:GES524298 GOL524298:GOO524298 GYH524298:GYK524298 HID524298:HIG524298 HRZ524298:HSC524298 IBV524298:IBY524298 ILR524298:ILU524298 IVN524298:IVQ524298 JFJ524298:JFM524298 JPF524298:JPI524298 JZB524298:JZE524298 KIX524298:KJA524298 KST524298:KSW524298 LCP524298:LCS524298 LML524298:LMO524298 LWH524298:LWK524298 MGD524298:MGG524298 MPZ524298:MQC524298 MZV524298:MZY524298 NJR524298:NJU524298 NTN524298:NTQ524298 ODJ524298:ODM524298 ONF524298:ONI524298 OXB524298:OXE524298 PGX524298:PHA524298 PQT524298:PQW524298 QAP524298:QAS524298 QKL524298:QKO524298 QUH524298:QUK524298 RED524298:REG524298 RNZ524298:ROC524298 RXV524298:RXY524298 SHR524298:SHU524298 SRN524298:SRQ524298 TBJ524298:TBM524298 TLF524298:TLI524298 TVB524298:TVE524298 UEX524298:UFA524298 UOT524298:UOW524298 UYP524298:UYS524298 VIL524298:VIO524298 VSH524298:VSK524298 WCD524298:WCG524298 WLZ524298:WMC524298 WVV524298:WVY524298 N589819:Q589819 JJ589834:JM589834 TF589834:TI589834 ADB589834:ADE589834 AMX589834:ANA589834 AWT589834:AWW589834 BGP589834:BGS589834 BQL589834:BQO589834 CAH589834:CAK589834 CKD589834:CKG589834 CTZ589834:CUC589834 DDV589834:DDY589834 DNR589834:DNU589834 DXN589834:DXQ589834 EHJ589834:EHM589834 ERF589834:ERI589834 FBB589834:FBE589834 FKX589834:FLA589834 FUT589834:FUW589834 GEP589834:GES589834 GOL589834:GOO589834 GYH589834:GYK589834 HID589834:HIG589834 HRZ589834:HSC589834 IBV589834:IBY589834 ILR589834:ILU589834 IVN589834:IVQ589834 JFJ589834:JFM589834 JPF589834:JPI589834 JZB589834:JZE589834 KIX589834:KJA589834 KST589834:KSW589834 LCP589834:LCS589834 LML589834:LMO589834 LWH589834:LWK589834 MGD589834:MGG589834 MPZ589834:MQC589834 MZV589834:MZY589834 NJR589834:NJU589834 NTN589834:NTQ589834 ODJ589834:ODM589834 ONF589834:ONI589834 OXB589834:OXE589834 PGX589834:PHA589834 PQT589834:PQW589834 QAP589834:QAS589834 QKL589834:QKO589834 QUH589834:QUK589834 RED589834:REG589834 RNZ589834:ROC589834 RXV589834:RXY589834 SHR589834:SHU589834 SRN589834:SRQ589834 TBJ589834:TBM589834 TLF589834:TLI589834 TVB589834:TVE589834 UEX589834:UFA589834 UOT589834:UOW589834 UYP589834:UYS589834 VIL589834:VIO589834 VSH589834:VSK589834 WCD589834:WCG589834 WLZ589834:WMC589834 WVV589834:WVY589834 N655355:Q655355 JJ655370:JM655370 TF655370:TI655370 ADB655370:ADE655370 AMX655370:ANA655370 AWT655370:AWW655370 BGP655370:BGS655370 BQL655370:BQO655370 CAH655370:CAK655370 CKD655370:CKG655370 CTZ655370:CUC655370 DDV655370:DDY655370 DNR655370:DNU655370 DXN655370:DXQ655370 EHJ655370:EHM655370 ERF655370:ERI655370 FBB655370:FBE655370 FKX655370:FLA655370 FUT655370:FUW655370 GEP655370:GES655370 GOL655370:GOO655370 GYH655370:GYK655370 HID655370:HIG655370 HRZ655370:HSC655370 IBV655370:IBY655370 ILR655370:ILU655370 IVN655370:IVQ655370 JFJ655370:JFM655370 JPF655370:JPI655370 JZB655370:JZE655370 KIX655370:KJA655370 KST655370:KSW655370 LCP655370:LCS655370 LML655370:LMO655370 LWH655370:LWK655370 MGD655370:MGG655370 MPZ655370:MQC655370 MZV655370:MZY655370 NJR655370:NJU655370 NTN655370:NTQ655370 ODJ655370:ODM655370 ONF655370:ONI655370 OXB655370:OXE655370 PGX655370:PHA655370 PQT655370:PQW655370 QAP655370:QAS655370 QKL655370:QKO655370 QUH655370:QUK655370 RED655370:REG655370 RNZ655370:ROC655370 RXV655370:RXY655370 SHR655370:SHU655370 SRN655370:SRQ655370 TBJ655370:TBM655370 TLF655370:TLI655370 TVB655370:TVE655370 UEX655370:UFA655370 UOT655370:UOW655370 UYP655370:UYS655370 VIL655370:VIO655370 VSH655370:VSK655370 WCD655370:WCG655370 WLZ655370:WMC655370 WVV655370:WVY655370 N720891:Q720891 JJ720906:JM720906 TF720906:TI720906 ADB720906:ADE720906 AMX720906:ANA720906 AWT720906:AWW720906 BGP720906:BGS720906 BQL720906:BQO720906 CAH720906:CAK720906 CKD720906:CKG720906 CTZ720906:CUC720906 DDV720906:DDY720906 DNR720906:DNU720906 DXN720906:DXQ720906 EHJ720906:EHM720906 ERF720906:ERI720906 FBB720906:FBE720906 FKX720906:FLA720906 FUT720906:FUW720906 GEP720906:GES720906 GOL720906:GOO720906 GYH720906:GYK720906 HID720906:HIG720906 HRZ720906:HSC720906 IBV720906:IBY720906 ILR720906:ILU720906 IVN720906:IVQ720906 JFJ720906:JFM720906 JPF720906:JPI720906 JZB720906:JZE720906 KIX720906:KJA720906 KST720906:KSW720906 LCP720906:LCS720906 LML720906:LMO720906 LWH720906:LWK720906 MGD720906:MGG720906 MPZ720906:MQC720906 MZV720906:MZY720906 NJR720906:NJU720906 NTN720906:NTQ720906 ODJ720906:ODM720906 ONF720906:ONI720906 OXB720906:OXE720906 PGX720906:PHA720906 PQT720906:PQW720906 QAP720906:QAS720906 QKL720906:QKO720906 QUH720906:QUK720906 RED720906:REG720906 RNZ720906:ROC720906 RXV720906:RXY720906 SHR720906:SHU720906 SRN720906:SRQ720906 TBJ720906:TBM720906 TLF720906:TLI720906 TVB720906:TVE720906 UEX720906:UFA720906 UOT720906:UOW720906 UYP720906:UYS720906 VIL720906:VIO720906 VSH720906:VSK720906 WCD720906:WCG720906 WLZ720906:WMC720906 WVV720906:WVY720906 N786427:Q786427 JJ786442:JM786442 TF786442:TI786442 ADB786442:ADE786442 AMX786442:ANA786442 AWT786442:AWW786442 BGP786442:BGS786442 BQL786442:BQO786442 CAH786442:CAK786442 CKD786442:CKG786442 CTZ786442:CUC786442 DDV786442:DDY786442 DNR786442:DNU786442 DXN786442:DXQ786442 EHJ786442:EHM786442 ERF786442:ERI786442 FBB786442:FBE786442 FKX786442:FLA786442 FUT786442:FUW786442 GEP786442:GES786442 GOL786442:GOO786442 GYH786442:GYK786442 HID786442:HIG786442 HRZ786442:HSC786442 IBV786442:IBY786442 ILR786442:ILU786442 IVN786442:IVQ786442 JFJ786442:JFM786442 JPF786442:JPI786442 JZB786442:JZE786442 KIX786442:KJA786442 KST786442:KSW786442 LCP786442:LCS786442 LML786442:LMO786442 LWH786442:LWK786442 MGD786442:MGG786442 MPZ786442:MQC786442 MZV786442:MZY786442 NJR786442:NJU786442 NTN786442:NTQ786442 ODJ786442:ODM786442 ONF786442:ONI786442 OXB786442:OXE786442 PGX786442:PHA786442 PQT786442:PQW786442 QAP786442:QAS786442 QKL786442:QKO786442 QUH786442:QUK786442 RED786442:REG786442 RNZ786442:ROC786442 RXV786442:RXY786442 SHR786442:SHU786442 SRN786442:SRQ786442 TBJ786442:TBM786442 TLF786442:TLI786442 TVB786442:TVE786442 UEX786442:UFA786442 UOT786442:UOW786442 UYP786442:UYS786442 VIL786442:VIO786442 VSH786442:VSK786442 WCD786442:WCG786442 WLZ786442:WMC786442 WVV786442:WVY786442 N851963:Q851963 JJ851978:JM851978 TF851978:TI851978 ADB851978:ADE851978 AMX851978:ANA851978 AWT851978:AWW851978 BGP851978:BGS851978 BQL851978:BQO851978 CAH851978:CAK851978 CKD851978:CKG851978 CTZ851978:CUC851978 DDV851978:DDY851978 DNR851978:DNU851978 DXN851978:DXQ851978 EHJ851978:EHM851978 ERF851978:ERI851978 FBB851978:FBE851978 FKX851978:FLA851978 FUT851978:FUW851978 GEP851978:GES851978 GOL851978:GOO851978 GYH851978:GYK851978 HID851978:HIG851978 HRZ851978:HSC851978 IBV851978:IBY851978 ILR851978:ILU851978 IVN851978:IVQ851978 JFJ851978:JFM851978 JPF851978:JPI851978 JZB851978:JZE851978 KIX851978:KJA851978 KST851978:KSW851978 LCP851978:LCS851978 LML851978:LMO851978 LWH851978:LWK851978 MGD851978:MGG851978 MPZ851978:MQC851978 MZV851978:MZY851978 NJR851978:NJU851978 NTN851978:NTQ851978 ODJ851978:ODM851978 ONF851978:ONI851978 OXB851978:OXE851978 PGX851978:PHA851978 PQT851978:PQW851978 QAP851978:QAS851978 QKL851978:QKO851978 QUH851978:QUK851978 RED851978:REG851978 RNZ851978:ROC851978 RXV851978:RXY851978 SHR851978:SHU851978 SRN851978:SRQ851978 TBJ851978:TBM851978 TLF851978:TLI851978 TVB851978:TVE851978 UEX851978:UFA851978 UOT851978:UOW851978 UYP851978:UYS851978 VIL851978:VIO851978 VSH851978:VSK851978 WCD851978:WCG851978 WLZ851978:WMC851978 WVV851978:WVY851978 N917499:Q917499 JJ917514:JM917514 TF917514:TI917514 ADB917514:ADE917514 AMX917514:ANA917514 AWT917514:AWW917514 BGP917514:BGS917514 BQL917514:BQO917514 CAH917514:CAK917514 CKD917514:CKG917514 CTZ917514:CUC917514 DDV917514:DDY917514 DNR917514:DNU917514 DXN917514:DXQ917514 EHJ917514:EHM917514 ERF917514:ERI917514 FBB917514:FBE917514 FKX917514:FLA917514 FUT917514:FUW917514 GEP917514:GES917514 GOL917514:GOO917514 GYH917514:GYK917514 HID917514:HIG917514 HRZ917514:HSC917514 IBV917514:IBY917514 ILR917514:ILU917514 IVN917514:IVQ917514 JFJ917514:JFM917514 JPF917514:JPI917514 JZB917514:JZE917514 KIX917514:KJA917514 KST917514:KSW917514 LCP917514:LCS917514 LML917514:LMO917514 LWH917514:LWK917514 MGD917514:MGG917514 MPZ917514:MQC917514 MZV917514:MZY917514 NJR917514:NJU917514 NTN917514:NTQ917514 ODJ917514:ODM917514 ONF917514:ONI917514 OXB917514:OXE917514 PGX917514:PHA917514 PQT917514:PQW917514 QAP917514:QAS917514 QKL917514:QKO917514 QUH917514:QUK917514 RED917514:REG917514 RNZ917514:ROC917514 RXV917514:RXY917514 SHR917514:SHU917514 SRN917514:SRQ917514 TBJ917514:TBM917514 TLF917514:TLI917514 TVB917514:TVE917514 UEX917514:UFA917514 UOT917514:UOW917514 UYP917514:UYS917514 VIL917514:VIO917514 VSH917514:VSK917514 WCD917514:WCG917514 WLZ917514:WMC917514 WVV917514:WVY917514 JJ983050:JM983050 TF983050:TI983050 ADB983050:ADE983050 AMX983050:ANA983050 AWT983050:AWW983050 BGP983050:BGS983050 BQL983050:BQO983050 CAH983050:CAK983050 CKD983050:CKG983050 CTZ983050:CUC983050 DDV983050:DDY983050 DNR983050:DNU983050 DXN983050:DXQ983050 EHJ983050:EHM983050 ERF983050:ERI983050 FBB983050:FBE983050 FKX983050:FLA983050 FUT983050:FUW983050 GEP983050:GES983050 GOL983050:GOO983050 GYH983050:GYK983050 HID983050:HIG983050 HRZ983050:HSC983050 IBV983050:IBY983050 ILR983050:ILU983050 IVN983050:IVQ983050 JFJ983050:JFM983050 JPF983050:JPI983050 JZB983050:JZE983050 KIX983050:KJA983050 KST983050:KSW983050 LCP983050:LCS983050 LML983050:LMO983050 LWH983050:LWK983050 MGD983050:MGG983050 MPZ983050:MQC983050 MZV983050:MZY983050 NJR983050:NJU983050 NTN983050:NTQ983050 ODJ983050:ODM983050 ONF983050:ONI983050 OXB983050:OXE983050 PGX983050:PHA983050 PQT983050:PQW983050 QAP983050:QAS983050 QKL983050:QKO983050 QUH983050:QUK983050 RED983050:REG983050 RNZ983050:ROC983050 RXV983050:RXY983050 SHR983050:SHU983050 SRN983050:SRQ983050 TBJ983050:TBM983050 TLF983050:TLI983050 TVB983050:TVE983050 UEX983050:UFA983050 UOT983050:UOW983050 UYP983050:UYS983050 VIL983050:VIO983050 VSH983050:VSK983050 WCD983050:WCG983050 WLZ983050:WMC983050 WVV983050:WVY983050" xr:uid="{D78D2F3D-4A21-48F6-9CFB-B2642B498210}">
      <formula1>#REF!</formula1>
    </dataValidation>
    <dataValidation type="list" allowBlank="1" showErrorMessage="1" errorTitle="The Category is incorrect" error="Please click the arrow and select your category" prompt="Choose your movement category by clicking the arrow and selecting your category" sqref="E8:H8" xr:uid="{E1361608-4D9D-4F30-A9D9-D157CBED63D5}">
      <formula1>$B$63:$B$75</formula1>
    </dataValidation>
    <dataValidation type="list" allowBlank="1" showErrorMessage="1" errorTitle="Your input was incorrect" error="Choose your vehicle by clicking the arrow and selecting the correct vehicle" prompt="Choose your vehicle by clicking the arrow and selecting your vehicle" sqref="N8:Q8" xr:uid="{6D76054F-FBD8-45A4-AC0A-6C89DEAC2704}">
      <formula1>$D$62:$D$67</formula1>
    </dataValidation>
    <dataValidation type="list" allowBlank="1" showInputMessage="1" showErrorMessage="1" sqref="N9:Q9" xr:uid="{BF6F61CC-F403-44DD-B40F-5F5CB5239E86}">
      <formula1>$F$62:$F$66</formula1>
    </dataValidation>
  </dataValidations>
  <hyperlinks>
    <hyperlink ref="T31:X31" r:id="rId1" display="Crash Estimation Compendium (Crash Estimation Compendium)" xr:uid="{0AEF33A5-BCC2-4FC1-BD11-BE79C538A834}"/>
  </hyperlinks>
  <printOptions horizontalCentered="1"/>
  <pageMargins left="0.74803149606299213" right="0.74803149606299213" top="0.98425196850393704" bottom="0.98425196850393704" header="0.51181102362204722" footer="0.51181102362204722"/>
  <pageSetup paperSize="9" scale="88" orientation="portrait" r:id="rId2"/>
  <headerFooter scaleWithDoc="0" alignWithMargins="0">
    <oddHeader>&amp;L&amp;"-,Regular"&amp;8&amp;F&amp;R&amp;"-,Regular"&amp;8&amp;A
_______________________________________________________________________________</oddHeader>
    <oddFooter>&amp;L&amp;"-,Regular"&amp;8__________________________________________________________________________________
NZ Transport Agency’s Economic evaluation manual 
Effective from Jul 2013</oddFooter>
  </headerFooter>
  <colBreaks count="1" manualBreakCount="1">
    <brk id="19" max="1048575" man="1"/>
  </colBreak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F4E4F-7A88-4B78-AF50-6B26946C16B2}">
  <sheetPr>
    <pageSetUpPr fitToPage="1"/>
  </sheetPr>
  <dimension ref="A1:N21"/>
  <sheetViews>
    <sheetView zoomScaleNormal="100" workbookViewId="0">
      <selection activeCell="E10" sqref="E10"/>
    </sheetView>
  </sheetViews>
  <sheetFormatPr defaultColWidth="7.69921875" defaultRowHeight="12.6"/>
  <cols>
    <col min="1" max="1" width="3.69921875" style="62" customWidth="1"/>
    <col min="2" max="3" width="11.796875" style="61" customWidth="1"/>
    <col min="4" max="4" width="31.69921875" style="61" customWidth="1"/>
    <col min="5" max="7" width="13.5" style="61" customWidth="1"/>
    <col min="8" max="8" width="3" style="61" customWidth="1"/>
    <col min="9" max="9" width="9.296875" style="61" customWidth="1"/>
    <col min="10" max="10" width="31.19921875" style="61" customWidth="1"/>
    <col min="11" max="12" width="13.69921875" style="61" customWidth="1"/>
    <col min="13" max="13" width="18.69921875" style="61" customWidth="1"/>
    <col min="14" max="14" width="39" style="61" customWidth="1"/>
    <col min="15" max="256" width="7.69921875" style="61"/>
    <col min="257" max="257" width="3.69921875" style="61" customWidth="1"/>
    <col min="258" max="260" width="11.796875" style="61" customWidth="1"/>
    <col min="261" max="263" width="13.5" style="61" customWidth="1"/>
    <col min="264" max="264" width="3" style="61" customWidth="1"/>
    <col min="265" max="265" width="13.69921875" style="61" customWidth="1"/>
    <col min="266" max="266" width="26.69921875" style="61" customWidth="1"/>
    <col min="267" max="270" width="13.69921875" style="61" customWidth="1"/>
    <col min="271" max="512" width="7.69921875" style="61"/>
    <col min="513" max="513" width="3.69921875" style="61" customWidth="1"/>
    <col min="514" max="516" width="11.796875" style="61" customWidth="1"/>
    <col min="517" max="519" width="13.5" style="61" customWidth="1"/>
    <col min="520" max="520" width="3" style="61" customWidth="1"/>
    <col min="521" max="521" width="13.69921875" style="61" customWidth="1"/>
    <col min="522" max="522" width="26.69921875" style="61" customWidth="1"/>
    <col min="523" max="526" width="13.69921875" style="61" customWidth="1"/>
    <col min="527" max="768" width="7.69921875" style="61"/>
    <col min="769" max="769" width="3.69921875" style="61" customWidth="1"/>
    <col min="770" max="772" width="11.796875" style="61" customWidth="1"/>
    <col min="773" max="775" width="13.5" style="61" customWidth="1"/>
    <col min="776" max="776" width="3" style="61" customWidth="1"/>
    <col min="777" max="777" width="13.69921875" style="61" customWidth="1"/>
    <col min="778" max="778" width="26.69921875" style="61" customWidth="1"/>
    <col min="779" max="782" width="13.69921875" style="61" customWidth="1"/>
    <col min="783" max="1024" width="7.69921875" style="61"/>
    <col min="1025" max="1025" width="3.69921875" style="61" customWidth="1"/>
    <col min="1026" max="1028" width="11.796875" style="61" customWidth="1"/>
    <col min="1029" max="1031" width="13.5" style="61" customWidth="1"/>
    <col min="1032" max="1032" width="3" style="61" customWidth="1"/>
    <col min="1033" max="1033" width="13.69921875" style="61" customWidth="1"/>
    <col min="1034" max="1034" width="26.69921875" style="61" customWidth="1"/>
    <col min="1035" max="1038" width="13.69921875" style="61" customWidth="1"/>
    <col min="1039" max="1280" width="7.69921875" style="61"/>
    <col min="1281" max="1281" width="3.69921875" style="61" customWidth="1"/>
    <col min="1282" max="1284" width="11.796875" style="61" customWidth="1"/>
    <col min="1285" max="1287" width="13.5" style="61" customWidth="1"/>
    <col min="1288" max="1288" width="3" style="61" customWidth="1"/>
    <col min="1289" max="1289" width="13.69921875" style="61" customWidth="1"/>
    <col min="1290" max="1290" width="26.69921875" style="61" customWidth="1"/>
    <col min="1291" max="1294" width="13.69921875" style="61" customWidth="1"/>
    <col min="1295" max="1536" width="7.69921875" style="61"/>
    <col min="1537" max="1537" width="3.69921875" style="61" customWidth="1"/>
    <col min="1538" max="1540" width="11.796875" style="61" customWidth="1"/>
    <col min="1541" max="1543" width="13.5" style="61" customWidth="1"/>
    <col min="1544" max="1544" width="3" style="61" customWidth="1"/>
    <col min="1545" max="1545" width="13.69921875" style="61" customWidth="1"/>
    <col min="1546" max="1546" width="26.69921875" style="61" customWidth="1"/>
    <col min="1547" max="1550" width="13.69921875" style="61" customWidth="1"/>
    <col min="1551" max="1792" width="7.69921875" style="61"/>
    <col min="1793" max="1793" width="3.69921875" style="61" customWidth="1"/>
    <col min="1794" max="1796" width="11.796875" style="61" customWidth="1"/>
    <col min="1797" max="1799" width="13.5" style="61" customWidth="1"/>
    <col min="1800" max="1800" width="3" style="61" customWidth="1"/>
    <col min="1801" max="1801" width="13.69921875" style="61" customWidth="1"/>
    <col min="1802" max="1802" width="26.69921875" style="61" customWidth="1"/>
    <col min="1803" max="1806" width="13.69921875" style="61" customWidth="1"/>
    <col min="1807" max="2048" width="7.69921875" style="61"/>
    <col min="2049" max="2049" width="3.69921875" style="61" customWidth="1"/>
    <col min="2050" max="2052" width="11.796875" style="61" customWidth="1"/>
    <col min="2053" max="2055" width="13.5" style="61" customWidth="1"/>
    <col min="2056" max="2056" width="3" style="61" customWidth="1"/>
    <col min="2057" max="2057" width="13.69921875" style="61" customWidth="1"/>
    <col min="2058" max="2058" width="26.69921875" style="61" customWidth="1"/>
    <col min="2059" max="2062" width="13.69921875" style="61" customWidth="1"/>
    <col min="2063" max="2304" width="7.69921875" style="61"/>
    <col min="2305" max="2305" width="3.69921875" style="61" customWidth="1"/>
    <col min="2306" max="2308" width="11.796875" style="61" customWidth="1"/>
    <col min="2309" max="2311" width="13.5" style="61" customWidth="1"/>
    <col min="2312" max="2312" width="3" style="61" customWidth="1"/>
    <col min="2313" max="2313" width="13.69921875" style="61" customWidth="1"/>
    <col min="2314" max="2314" width="26.69921875" style="61" customWidth="1"/>
    <col min="2315" max="2318" width="13.69921875" style="61" customWidth="1"/>
    <col min="2319" max="2560" width="7.69921875" style="61"/>
    <col min="2561" max="2561" width="3.69921875" style="61" customWidth="1"/>
    <col min="2562" max="2564" width="11.796875" style="61" customWidth="1"/>
    <col min="2565" max="2567" width="13.5" style="61" customWidth="1"/>
    <col min="2568" max="2568" width="3" style="61" customWidth="1"/>
    <col min="2569" max="2569" width="13.69921875" style="61" customWidth="1"/>
    <col min="2570" max="2570" width="26.69921875" style="61" customWidth="1"/>
    <col min="2571" max="2574" width="13.69921875" style="61" customWidth="1"/>
    <col min="2575" max="2816" width="7.69921875" style="61"/>
    <col min="2817" max="2817" width="3.69921875" style="61" customWidth="1"/>
    <col min="2818" max="2820" width="11.796875" style="61" customWidth="1"/>
    <col min="2821" max="2823" width="13.5" style="61" customWidth="1"/>
    <col min="2824" max="2824" width="3" style="61" customWidth="1"/>
    <col min="2825" max="2825" width="13.69921875" style="61" customWidth="1"/>
    <col min="2826" max="2826" width="26.69921875" style="61" customWidth="1"/>
    <col min="2827" max="2830" width="13.69921875" style="61" customWidth="1"/>
    <col min="2831" max="3072" width="7.69921875" style="61"/>
    <col min="3073" max="3073" width="3.69921875" style="61" customWidth="1"/>
    <col min="3074" max="3076" width="11.796875" style="61" customWidth="1"/>
    <col min="3077" max="3079" width="13.5" style="61" customWidth="1"/>
    <col min="3080" max="3080" width="3" style="61" customWidth="1"/>
    <col min="3081" max="3081" width="13.69921875" style="61" customWidth="1"/>
    <col min="3082" max="3082" width="26.69921875" style="61" customWidth="1"/>
    <col min="3083" max="3086" width="13.69921875" style="61" customWidth="1"/>
    <col min="3087" max="3328" width="7.69921875" style="61"/>
    <col min="3329" max="3329" width="3.69921875" style="61" customWidth="1"/>
    <col min="3330" max="3332" width="11.796875" style="61" customWidth="1"/>
    <col min="3333" max="3335" width="13.5" style="61" customWidth="1"/>
    <col min="3336" max="3336" width="3" style="61" customWidth="1"/>
    <col min="3337" max="3337" width="13.69921875" style="61" customWidth="1"/>
    <col min="3338" max="3338" width="26.69921875" style="61" customWidth="1"/>
    <col min="3339" max="3342" width="13.69921875" style="61" customWidth="1"/>
    <col min="3343" max="3584" width="7.69921875" style="61"/>
    <col min="3585" max="3585" width="3.69921875" style="61" customWidth="1"/>
    <col min="3586" max="3588" width="11.796875" style="61" customWidth="1"/>
    <col min="3589" max="3591" width="13.5" style="61" customWidth="1"/>
    <col min="3592" max="3592" width="3" style="61" customWidth="1"/>
    <col min="3593" max="3593" width="13.69921875" style="61" customWidth="1"/>
    <col min="3594" max="3594" width="26.69921875" style="61" customWidth="1"/>
    <col min="3595" max="3598" width="13.69921875" style="61" customWidth="1"/>
    <col min="3599" max="3840" width="7.69921875" style="61"/>
    <col min="3841" max="3841" width="3.69921875" style="61" customWidth="1"/>
    <col min="3842" max="3844" width="11.796875" style="61" customWidth="1"/>
    <col min="3845" max="3847" width="13.5" style="61" customWidth="1"/>
    <col min="3848" max="3848" width="3" style="61" customWidth="1"/>
    <col min="3849" max="3849" width="13.69921875" style="61" customWidth="1"/>
    <col min="3850" max="3850" width="26.69921875" style="61" customWidth="1"/>
    <col min="3851" max="3854" width="13.69921875" style="61" customWidth="1"/>
    <col min="3855" max="4096" width="7.69921875" style="61"/>
    <col min="4097" max="4097" width="3.69921875" style="61" customWidth="1"/>
    <col min="4098" max="4100" width="11.796875" style="61" customWidth="1"/>
    <col min="4101" max="4103" width="13.5" style="61" customWidth="1"/>
    <col min="4104" max="4104" width="3" style="61" customWidth="1"/>
    <col min="4105" max="4105" width="13.69921875" style="61" customWidth="1"/>
    <col min="4106" max="4106" width="26.69921875" style="61" customWidth="1"/>
    <col min="4107" max="4110" width="13.69921875" style="61" customWidth="1"/>
    <col min="4111" max="4352" width="7.69921875" style="61"/>
    <col min="4353" max="4353" width="3.69921875" style="61" customWidth="1"/>
    <col min="4354" max="4356" width="11.796875" style="61" customWidth="1"/>
    <col min="4357" max="4359" width="13.5" style="61" customWidth="1"/>
    <col min="4360" max="4360" width="3" style="61" customWidth="1"/>
    <col min="4361" max="4361" width="13.69921875" style="61" customWidth="1"/>
    <col min="4362" max="4362" width="26.69921875" style="61" customWidth="1"/>
    <col min="4363" max="4366" width="13.69921875" style="61" customWidth="1"/>
    <col min="4367" max="4608" width="7.69921875" style="61"/>
    <col min="4609" max="4609" width="3.69921875" style="61" customWidth="1"/>
    <col min="4610" max="4612" width="11.796875" style="61" customWidth="1"/>
    <col min="4613" max="4615" width="13.5" style="61" customWidth="1"/>
    <col min="4616" max="4616" width="3" style="61" customWidth="1"/>
    <col min="4617" max="4617" width="13.69921875" style="61" customWidth="1"/>
    <col min="4618" max="4618" width="26.69921875" style="61" customWidth="1"/>
    <col min="4619" max="4622" width="13.69921875" style="61" customWidth="1"/>
    <col min="4623" max="4864" width="7.69921875" style="61"/>
    <col min="4865" max="4865" width="3.69921875" style="61" customWidth="1"/>
    <col min="4866" max="4868" width="11.796875" style="61" customWidth="1"/>
    <col min="4869" max="4871" width="13.5" style="61" customWidth="1"/>
    <col min="4872" max="4872" width="3" style="61" customWidth="1"/>
    <col min="4873" max="4873" width="13.69921875" style="61" customWidth="1"/>
    <col min="4874" max="4874" width="26.69921875" style="61" customWidth="1"/>
    <col min="4875" max="4878" width="13.69921875" style="61" customWidth="1"/>
    <col min="4879" max="5120" width="7.69921875" style="61"/>
    <col min="5121" max="5121" width="3.69921875" style="61" customWidth="1"/>
    <col min="5122" max="5124" width="11.796875" style="61" customWidth="1"/>
    <col min="5125" max="5127" width="13.5" style="61" customWidth="1"/>
    <col min="5128" max="5128" width="3" style="61" customWidth="1"/>
    <col min="5129" max="5129" width="13.69921875" style="61" customWidth="1"/>
    <col min="5130" max="5130" width="26.69921875" style="61" customWidth="1"/>
    <col min="5131" max="5134" width="13.69921875" style="61" customWidth="1"/>
    <col min="5135" max="5376" width="7.69921875" style="61"/>
    <col min="5377" max="5377" width="3.69921875" style="61" customWidth="1"/>
    <col min="5378" max="5380" width="11.796875" style="61" customWidth="1"/>
    <col min="5381" max="5383" width="13.5" style="61" customWidth="1"/>
    <col min="5384" max="5384" width="3" style="61" customWidth="1"/>
    <col min="5385" max="5385" width="13.69921875" style="61" customWidth="1"/>
    <col min="5386" max="5386" width="26.69921875" style="61" customWidth="1"/>
    <col min="5387" max="5390" width="13.69921875" style="61" customWidth="1"/>
    <col min="5391" max="5632" width="7.69921875" style="61"/>
    <col min="5633" max="5633" width="3.69921875" style="61" customWidth="1"/>
    <col min="5634" max="5636" width="11.796875" style="61" customWidth="1"/>
    <col min="5637" max="5639" width="13.5" style="61" customWidth="1"/>
    <col min="5640" max="5640" width="3" style="61" customWidth="1"/>
    <col min="5641" max="5641" width="13.69921875" style="61" customWidth="1"/>
    <col min="5642" max="5642" width="26.69921875" style="61" customWidth="1"/>
    <col min="5643" max="5646" width="13.69921875" style="61" customWidth="1"/>
    <col min="5647" max="5888" width="7.69921875" style="61"/>
    <col min="5889" max="5889" width="3.69921875" style="61" customWidth="1"/>
    <col min="5890" max="5892" width="11.796875" style="61" customWidth="1"/>
    <col min="5893" max="5895" width="13.5" style="61" customWidth="1"/>
    <col min="5896" max="5896" width="3" style="61" customWidth="1"/>
    <col min="5897" max="5897" width="13.69921875" style="61" customWidth="1"/>
    <col min="5898" max="5898" width="26.69921875" style="61" customWidth="1"/>
    <col min="5899" max="5902" width="13.69921875" style="61" customWidth="1"/>
    <col min="5903" max="6144" width="7.69921875" style="61"/>
    <col min="6145" max="6145" width="3.69921875" style="61" customWidth="1"/>
    <col min="6146" max="6148" width="11.796875" style="61" customWidth="1"/>
    <col min="6149" max="6151" width="13.5" style="61" customWidth="1"/>
    <col min="6152" max="6152" width="3" style="61" customWidth="1"/>
    <col min="6153" max="6153" width="13.69921875" style="61" customWidth="1"/>
    <col min="6154" max="6154" width="26.69921875" style="61" customWidth="1"/>
    <col min="6155" max="6158" width="13.69921875" style="61" customWidth="1"/>
    <col min="6159" max="6400" width="7.69921875" style="61"/>
    <col min="6401" max="6401" width="3.69921875" style="61" customWidth="1"/>
    <col min="6402" max="6404" width="11.796875" style="61" customWidth="1"/>
    <col min="6405" max="6407" width="13.5" style="61" customWidth="1"/>
    <col min="6408" max="6408" width="3" style="61" customWidth="1"/>
    <col min="6409" max="6409" width="13.69921875" style="61" customWidth="1"/>
    <col min="6410" max="6410" width="26.69921875" style="61" customWidth="1"/>
    <col min="6411" max="6414" width="13.69921875" style="61" customWidth="1"/>
    <col min="6415" max="6656" width="7.69921875" style="61"/>
    <col min="6657" max="6657" width="3.69921875" style="61" customWidth="1"/>
    <col min="6658" max="6660" width="11.796875" style="61" customWidth="1"/>
    <col min="6661" max="6663" width="13.5" style="61" customWidth="1"/>
    <col min="6664" max="6664" width="3" style="61" customWidth="1"/>
    <col min="6665" max="6665" width="13.69921875" style="61" customWidth="1"/>
    <col min="6666" max="6666" width="26.69921875" style="61" customWidth="1"/>
    <col min="6667" max="6670" width="13.69921875" style="61" customWidth="1"/>
    <col min="6671" max="6912" width="7.69921875" style="61"/>
    <col min="6913" max="6913" width="3.69921875" style="61" customWidth="1"/>
    <col min="6914" max="6916" width="11.796875" style="61" customWidth="1"/>
    <col min="6917" max="6919" width="13.5" style="61" customWidth="1"/>
    <col min="6920" max="6920" width="3" style="61" customWidth="1"/>
    <col min="6921" max="6921" width="13.69921875" style="61" customWidth="1"/>
    <col min="6922" max="6922" width="26.69921875" style="61" customWidth="1"/>
    <col min="6923" max="6926" width="13.69921875" style="61" customWidth="1"/>
    <col min="6927" max="7168" width="7.69921875" style="61"/>
    <col min="7169" max="7169" width="3.69921875" style="61" customWidth="1"/>
    <col min="7170" max="7172" width="11.796875" style="61" customWidth="1"/>
    <col min="7173" max="7175" width="13.5" style="61" customWidth="1"/>
    <col min="7176" max="7176" width="3" style="61" customWidth="1"/>
    <col min="7177" max="7177" width="13.69921875" style="61" customWidth="1"/>
    <col min="7178" max="7178" width="26.69921875" style="61" customWidth="1"/>
    <col min="7179" max="7182" width="13.69921875" style="61" customWidth="1"/>
    <col min="7183" max="7424" width="7.69921875" style="61"/>
    <col min="7425" max="7425" width="3.69921875" style="61" customWidth="1"/>
    <col min="7426" max="7428" width="11.796875" style="61" customWidth="1"/>
    <col min="7429" max="7431" width="13.5" style="61" customWidth="1"/>
    <col min="7432" max="7432" width="3" style="61" customWidth="1"/>
    <col min="7433" max="7433" width="13.69921875" style="61" customWidth="1"/>
    <col min="7434" max="7434" width="26.69921875" style="61" customWidth="1"/>
    <col min="7435" max="7438" width="13.69921875" style="61" customWidth="1"/>
    <col min="7439" max="7680" width="7.69921875" style="61"/>
    <col min="7681" max="7681" width="3.69921875" style="61" customWidth="1"/>
    <col min="7682" max="7684" width="11.796875" style="61" customWidth="1"/>
    <col min="7685" max="7687" width="13.5" style="61" customWidth="1"/>
    <col min="7688" max="7688" width="3" style="61" customWidth="1"/>
    <col min="7689" max="7689" width="13.69921875" style="61" customWidth="1"/>
    <col min="7690" max="7690" width="26.69921875" style="61" customWidth="1"/>
    <col min="7691" max="7694" width="13.69921875" style="61" customWidth="1"/>
    <col min="7695" max="7936" width="7.69921875" style="61"/>
    <col min="7937" max="7937" width="3.69921875" style="61" customWidth="1"/>
    <col min="7938" max="7940" width="11.796875" style="61" customWidth="1"/>
    <col min="7941" max="7943" width="13.5" style="61" customWidth="1"/>
    <col min="7944" max="7944" width="3" style="61" customWidth="1"/>
    <col min="7945" max="7945" width="13.69921875" style="61" customWidth="1"/>
    <col min="7946" max="7946" width="26.69921875" style="61" customWidth="1"/>
    <col min="7947" max="7950" width="13.69921875" style="61" customWidth="1"/>
    <col min="7951" max="8192" width="7.69921875" style="61"/>
    <col min="8193" max="8193" width="3.69921875" style="61" customWidth="1"/>
    <col min="8194" max="8196" width="11.796875" style="61" customWidth="1"/>
    <col min="8197" max="8199" width="13.5" style="61" customWidth="1"/>
    <col min="8200" max="8200" width="3" style="61" customWidth="1"/>
    <col min="8201" max="8201" width="13.69921875" style="61" customWidth="1"/>
    <col min="8202" max="8202" width="26.69921875" style="61" customWidth="1"/>
    <col min="8203" max="8206" width="13.69921875" style="61" customWidth="1"/>
    <col min="8207" max="8448" width="7.69921875" style="61"/>
    <col min="8449" max="8449" width="3.69921875" style="61" customWidth="1"/>
    <col min="8450" max="8452" width="11.796875" style="61" customWidth="1"/>
    <col min="8453" max="8455" width="13.5" style="61" customWidth="1"/>
    <col min="8456" max="8456" width="3" style="61" customWidth="1"/>
    <col min="8457" max="8457" width="13.69921875" style="61" customWidth="1"/>
    <col min="8458" max="8458" width="26.69921875" style="61" customWidth="1"/>
    <col min="8459" max="8462" width="13.69921875" style="61" customWidth="1"/>
    <col min="8463" max="8704" width="7.69921875" style="61"/>
    <col min="8705" max="8705" width="3.69921875" style="61" customWidth="1"/>
    <col min="8706" max="8708" width="11.796875" style="61" customWidth="1"/>
    <col min="8709" max="8711" width="13.5" style="61" customWidth="1"/>
    <col min="8712" max="8712" width="3" style="61" customWidth="1"/>
    <col min="8713" max="8713" width="13.69921875" style="61" customWidth="1"/>
    <col min="8714" max="8714" width="26.69921875" style="61" customWidth="1"/>
    <col min="8715" max="8718" width="13.69921875" style="61" customWidth="1"/>
    <col min="8719" max="8960" width="7.69921875" style="61"/>
    <col min="8961" max="8961" width="3.69921875" style="61" customWidth="1"/>
    <col min="8962" max="8964" width="11.796875" style="61" customWidth="1"/>
    <col min="8965" max="8967" width="13.5" style="61" customWidth="1"/>
    <col min="8968" max="8968" width="3" style="61" customWidth="1"/>
    <col min="8969" max="8969" width="13.69921875" style="61" customWidth="1"/>
    <col min="8970" max="8970" width="26.69921875" style="61" customWidth="1"/>
    <col min="8971" max="8974" width="13.69921875" style="61" customWidth="1"/>
    <col min="8975" max="9216" width="7.69921875" style="61"/>
    <col min="9217" max="9217" width="3.69921875" style="61" customWidth="1"/>
    <col min="9218" max="9220" width="11.796875" style="61" customWidth="1"/>
    <col min="9221" max="9223" width="13.5" style="61" customWidth="1"/>
    <col min="9224" max="9224" width="3" style="61" customWidth="1"/>
    <col min="9225" max="9225" width="13.69921875" style="61" customWidth="1"/>
    <col min="9226" max="9226" width="26.69921875" style="61" customWidth="1"/>
    <col min="9227" max="9230" width="13.69921875" style="61" customWidth="1"/>
    <col min="9231" max="9472" width="7.69921875" style="61"/>
    <col min="9473" max="9473" width="3.69921875" style="61" customWidth="1"/>
    <col min="9474" max="9476" width="11.796875" style="61" customWidth="1"/>
    <col min="9477" max="9479" width="13.5" style="61" customWidth="1"/>
    <col min="9480" max="9480" width="3" style="61" customWidth="1"/>
    <col min="9481" max="9481" width="13.69921875" style="61" customWidth="1"/>
    <col min="9482" max="9482" width="26.69921875" style="61" customWidth="1"/>
    <col min="9483" max="9486" width="13.69921875" style="61" customWidth="1"/>
    <col min="9487" max="9728" width="7.69921875" style="61"/>
    <col min="9729" max="9729" width="3.69921875" style="61" customWidth="1"/>
    <col min="9730" max="9732" width="11.796875" style="61" customWidth="1"/>
    <col min="9733" max="9735" width="13.5" style="61" customWidth="1"/>
    <col min="9736" max="9736" width="3" style="61" customWidth="1"/>
    <col min="9737" max="9737" width="13.69921875" style="61" customWidth="1"/>
    <col min="9738" max="9738" width="26.69921875" style="61" customWidth="1"/>
    <col min="9739" max="9742" width="13.69921875" style="61" customWidth="1"/>
    <col min="9743" max="9984" width="7.69921875" style="61"/>
    <col min="9985" max="9985" width="3.69921875" style="61" customWidth="1"/>
    <col min="9986" max="9988" width="11.796875" style="61" customWidth="1"/>
    <col min="9989" max="9991" width="13.5" style="61" customWidth="1"/>
    <col min="9992" max="9992" width="3" style="61" customWidth="1"/>
    <col min="9993" max="9993" width="13.69921875" style="61" customWidth="1"/>
    <col min="9994" max="9994" width="26.69921875" style="61" customWidth="1"/>
    <col min="9995" max="9998" width="13.69921875" style="61" customWidth="1"/>
    <col min="9999" max="10240" width="7.69921875" style="61"/>
    <col min="10241" max="10241" width="3.69921875" style="61" customWidth="1"/>
    <col min="10242" max="10244" width="11.796875" style="61" customWidth="1"/>
    <col min="10245" max="10247" width="13.5" style="61" customWidth="1"/>
    <col min="10248" max="10248" width="3" style="61" customWidth="1"/>
    <col min="10249" max="10249" width="13.69921875" style="61" customWidth="1"/>
    <col min="10250" max="10250" width="26.69921875" style="61" customWidth="1"/>
    <col min="10251" max="10254" width="13.69921875" style="61" customWidth="1"/>
    <col min="10255" max="10496" width="7.69921875" style="61"/>
    <col min="10497" max="10497" width="3.69921875" style="61" customWidth="1"/>
    <col min="10498" max="10500" width="11.796875" style="61" customWidth="1"/>
    <col min="10501" max="10503" width="13.5" style="61" customWidth="1"/>
    <col min="10504" max="10504" width="3" style="61" customWidth="1"/>
    <col min="10505" max="10505" width="13.69921875" style="61" customWidth="1"/>
    <col min="10506" max="10506" width="26.69921875" style="61" customWidth="1"/>
    <col min="10507" max="10510" width="13.69921875" style="61" customWidth="1"/>
    <col min="10511" max="10752" width="7.69921875" style="61"/>
    <col min="10753" max="10753" width="3.69921875" style="61" customWidth="1"/>
    <col min="10754" max="10756" width="11.796875" style="61" customWidth="1"/>
    <col min="10757" max="10759" width="13.5" style="61" customWidth="1"/>
    <col min="10760" max="10760" width="3" style="61" customWidth="1"/>
    <col min="10761" max="10761" width="13.69921875" style="61" customWidth="1"/>
    <col min="10762" max="10762" width="26.69921875" style="61" customWidth="1"/>
    <col min="10763" max="10766" width="13.69921875" style="61" customWidth="1"/>
    <col min="10767" max="11008" width="7.69921875" style="61"/>
    <col min="11009" max="11009" width="3.69921875" style="61" customWidth="1"/>
    <col min="11010" max="11012" width="11.796875" style="61" customWidth="1"/>
    <col min="11013" max="11015" width="13.5" style="61" customWidth="1"/>
    <col min="11016" max="11016" width="3" style="61" customWidth="1"/>
    <col min="11017" max="11017" width="13.69921875" style="61" customWidth="1"/>
    <col min="11018" max="11018" width="26.69921875" style="61" customWidth="1"/>
    <col min="11019" max="11022" width="13.69921875" style="61" customWidth="1"/>
    <col min="11023" max="11264" width="7.69921875" style="61"/>
    <col min="11265" max="11265" width="3.69921875" style="61" customWidth="1"/>
    <col min="11266" max="11268" width="11.796875" style="61" customWidth="1"/>
    <col min="11269" max="11271" width="13.5" style="61" customWidth="1"/>
    <col min="11272" max="11272" width="3" style="61" customWidth="1"/>
    <col min="11273" max="11273" width="13.69921875" style="61" customWidth="1"/>
    <col min="11274" max="11274" width="26.69921875" style="61" customWidth="1"/>
    <col min="11275" max="11278" width="13.69921875" style="61" customWidth="1"/>
    <col min="11279" max="11520" width="7.69921875" style="61"/>
    <col min="11521" max="11521" width="3.69921875" style="61" customWidth="1"/>
    <col min="11522" max="11524" width="11.796875" style="61" customWidth="1"/>
    <col min="11525" max="11527" width="13.5" style="61" customWidth="1"/>
    <col min="11528" max="11528" width="3" style="61" customWidth="1"/>
    <col min="11529" max="11529" width="13.69921875" style="61" customWidth="1"/>
    <col min="11530" max="11530" width="26.69921875" style="61" customWidth="1"/>
    <col min="11531" max="11534" width="13.69921875" style="61" customWidth="1"/>
    <col min="11535" max="11776" width="7.69921875" style="61"/>
    <col min="11777" max="11777" width="3.69921875" style="61" customWidth="1"/>
    <col min="11778" max="11780" width="11.796875" style="61" customWidth="1"/>
    <col min="11781" max="11783" width="13.5" style="61" customWidth="1"/>
    <col min="11784" max="11784" width="3" style="61" customWidth="1"/>
    <col min="11785" max="11785" width="13.69921875" style="61" customWidth="1"/>
    <col min="11786" max="11786" width="26.69921875" style="61" customWidth="1"/>
    <col min="11787" max="11790" width="13.69921875" style="61" customWidth="1"/>
    <col min="11791" max="12032" width="7.69921875" style="61"/>
    <col min="12033" max="12033" width="3.69921875" style="61" customWidth="1"/>
    <col min="12034" max="12036" width="11.796875" style="61" customWidth="1"/>
    <col min="12037" max="12039" width="13.5" style="61" customWidth="1"/>
    <col min="12040" max="12040" width="3" style="61" customWidth="1"/>
    <col min="12041" max="12041" width="13.69921875" style="61" customWidth="1"/>
    <col min="12042" max="12042" width="26.69921875" style="61" customWidth="1"/>
    <col min="12043" max="12046" width="13.69921875" style="61" customWidth="1"/>
    <col min="12047" max="12288" width="7.69921875" style="61"/>
    <col min="12289" max="12289" width="3.69921875" style="61" customWidth="1"/>
    <col min="12290" max="12292" width="11.796875" style="61" customWidth="1"/>
    <col min="12293" max="12295" width="13.5" style="61" customWidth="1"/>
    <col min="12296" max="12296" width="3" style="61" customWidth="1"/>
    <col min="12297" max="12297" width="13.69921875" style="61" customWidth="1"/>
    <col min="12298" max="12298" width="26.69921875" style="61" customWidth="1"/>
    <col min="12299" max="12302" width="13.69921875" style="61" customWidth="1"/>
    <col min="12303" max="12544" width="7.69921875" style="61"/>
    <col min="12545" max="12545" width="3.69921875" style="61" customWidth="1"/>
    <col min="12546" max="12548" width="11.796875" style="61" customWidth="1"/>
    <col min="12549" max="12551" width="13.5" style="61" customWidth="1"/>
    <col min="12552" max="12552" width="3" style="61" customWidth="1"/>
    <col min="12553" max="12553" width="13.69921875" style="61" customWidth="1"/>
    <col min="12554" max="12554" width="26.69921875" style="61" customWidth="1"/>
    <col min="12555" max="12558" width="13.69921875" style="61" customWidth="1"/>
    <col min="12559" max="12800" width="7.69921875" style="61"/>
    <col min="12801" max="12801" width="3.69921875" style="61" customWidth="1"/>
    <col min="12802" max="12804" width="11.796875" style="61" customWidth="1"/>
    <col min="12805" max="12807" width="13.5" style="61" customWidth="1"/>
    <col min="12808" max="12808" width="3" style="61" customWidth="1"/>
    <col min="12809" max="12809" width="13.69921875" style="61" customWidth="1"/>
    <col min="12810" max="12810" width="26.69921875" style="61" customWidth="1"/>
    <col min="12811" max="12814" width="13.69921875" style="61" customWidth="1"/>
    <col min="12815" max="13056" width="7.69921875" style="61"/>
    <col min="13057" max="13057" width="3.69921875" style="61" customWidth="1"/>
    <col min="13058" max="13060" width="11.796875" style="61" customWidth="1"/>
    <col min="13061" max="13063" width="13.5" style="61" customWidth="1"/>
    <col min="13064" max="13064" width="3" style="61" customWidth="1"/>
    <col min="13065" max="13065" width="13.69921875" style="61" customWidth="1"/>
    <col min="13066" max="13066" width="26.69921875" style="61" customWidth="1"/>
    <col min="13067" max="13070" width="13.69921875" style="61" customWidth="1"/>
    <col min="13071" max="13312" width="7.69921875" style="61"/>
    <col min="13313" max="13313" width="3.69921875" style="61" customWidth="1"/>
    <col min="13314" max="13316" width="11.796875" style="61" customWidth="1"/>
    <col min="13317" max="13319" width="13.5" style="61" customWidth="1"/>
    <col min="13320" max="13320" width="3" style="61" customWidth="1"/>
    <col min="13321" max="13321" width="13.69921875" style="61" customWidth="1"/>
    <col min="13322" max="13322" width="26.69921875" style="61" customWidth="1"/>
    <col min="13323" max="13326" width="13.69921875" style="61" customWidth="1"/>
    <col min="13327" max="13568" width="7.69921875" style="61"/>
    <col min="13569" max="13569" width="3.69921875" style="61" customWidth="1"/>
    <col min="13570" max="13572" width="11.796875" style="61" customWidth="1"/>
    <col min="13573" max="13575" width="13.5" style="61" customWidth="1"/>
    <col min="13576" max="13576" width="3" style="61" customWidth="1"/>
    <col min="13577" max="13577" width="13.69921875" style="61" customWidth="1"/>
    <col min="13578" max="13578" width="26.69921875" style="61" customWidth="1"/>
    <col min="13579" max="13582" width="13.69921875" style="61" customWidth="1"/>
    <col min="13583" max="13824" width="7.69921875" style="61"/>
    <col min="13825" max="13825" width="3.69921875" style="61" customWidth="1"/>
    <col min="13826" max="13828" width="11.796875" style="61" customWidth="1"/>
    <col min="13829" max="13831" width="13.5" style="61" customWidth="1"/>
    <col min="13832" max="13832" width="3" style="61" customWidth="1"/>
    <col min="13833" max="13833" width="13.69921875" style="61" customWidth="1"/>
    <col min="13834" max="13834" width="26.69921875" style="61" customWidth="1"/>
    <col min="13835" max="13838" width="13.69921875" style="61" customWidth="1"/>
    <col min="13839" max="14080" width="7.69921875" style="61"/>
    <col min="14081" max="14081" width="3.69921875" style="61" customWidth="1"/>
    <col min="14082" max="14084" width="11.796875" style="61" customWidth="1"/>
    <col min="14085" max="14087" width="13.5" style="61" customWidth="1"/>
    <col min="14088" max="14088" width="3" style="61" customWidth="1"/>
    <col min="14089" max="14089" width="13.69921875" style="61" customWidth="1"/>
    <col min="14090" max="14090" width="26.69921875" style="61" customWidth="1"/>
    <col min="14091" max="14094" width="13.69921875" style="61" customWidth="1"/>
    <col min="14095" max="14336" width="7.69921875" style="61"/>
    <col min="14337" max="14337" width="3.69921875" style="61" customWidth="1"/>
    <col min="14338" max="14340" width="11.796875" style="61" customWidth="1"/>
    <col min="14341" max="14343" width="13.5" style="61" customWidth="1"/>
    <col min="14344" max="14344" width="3" style="61" customWidth="1"/>
    <col min="14345" max="14345" width="13.69921875" style="61" customWidth="1"/>
    <col min="14346" max="14346" width="26.69921875" style="61" customWidth="1"/>
    <col min="14347" max="14350" width="13.69921875" style="61" customWidth="1"/>
    <col min="14351" max="14592" width="7.69921875" style="61"/>
    <col min="14593" max="14593" width="3.69921875" style="61" customWidth="1"/>
    <col min="14594" max="14596" width="11.796875" style="61" customWidth="1"/>
    <col min="14597" max="14599" width="13.5" style="61" customWidth="1"/>
    <col min="14600" max="14600" width="3" style="61" customWidth="1"/>
    <col min="14601" max="14601" width="13.69921875" style="61" customWidth="1"/>
    <col min="14602" max="14602" width="26.69921875" style="61" customWidth="1"/>
    <col min="14603" max="14606" width="13.69921875" style="61" customWidth="1"/>
    <col min="14607" max="14848" width="7.69921875" style="61"/>
    <col min="14849" max="14849" width="3.69921875" style="61" customWidth="1"/>
    <col min="14850" max="14852" width="11.796875" style="61" customWidth="1"/>
    <col min="14853" max="14855" width="13.5" style="61" customWidth="1"/>
    <col min="14856" max="14856" width="3" style="61" customWidth="1"/>
    <col min="14857" max="14857" width="13.69921875" style="61" customWidth="1"/>
    <col min="14858" max="14858" width="26.69921875" style="61" customWidth="1"/>
    <col min="14859" max="14862" width="13.69921875" style="61" customWidth="1"/>
    <col min="14863" max="15104" width="7.69921875" style="61"/>
    <col min="15105" max="15105" width="3.69921875" style="61" customWidth="1"/>
    <col min="15106" max="15108" width="11.796875" style="61" customWidth="1"/>
    <col min="15109" max="15111" width="13.5" style="61" customWidth="1"/>
    <col min="15112" max="15112" width="3" style="61" customWidth="1"/>
    <col min="15113" max="15113" width="13.69921875" style="61" customWidth="1"/>
    <col min="15114" max="15114" width="26.69921875" style="61" customWidth="1"/>
    <col min="15115" max="15118" width="13.69921875" style="61" customWidth="1"/>
    <col min="15119" max="15360" width="7.69921875" style="61"/>
    <col min="15361" max="15361" width="3.69921875" style="61" customWidth="1"/>
    <col min="15362" max="15364" width="11.796875" style="61" customWidth="1"/>
    <col min="15365" max="15367" width="13.5" style="61" customWidth="1"/>
    <col min="15368" max="15368" width="3" style="61" customWidth="1"/>
    <col min="15369" max="15369" width="13.69921875" style="61" customWidth="1"/>
    <col min="15370" max="15370" width="26.69921875" style="61" customWidth="1"/>
    <col min="15371" max="15374" width="13.69921875" style="61" customWidth="1"/>
    <col min="15375" max="15616" width="7.69921875" style="61"/>
    <col min="15617" max="15617" width="3.69921875" style="61" customWidth="1"/>
    <col min="15618" max="15620" width="11.796875" style="61" customWidth="1"/>
    <col min="15621" max="15623" width="13.5" style="61" customWidth="1"/>
    <col min="15624" max="15624" width="3" style="61" customWidth="1"/>
    <col min="15625" max="15625" width="13.69921875" style="61" customWidth="1"/>
    <col min="15626" max="15626" width="26.69921875" style="61" customWidth="1"/>
    <col min="15627" max="15630" width="13.69921875" style="61" customWidth="1"/>
    <col min="15631" max="15872" width="7.69921875" style="61"/>
    <col min="15873" max="15873" width="3.69921875" style="61" customWidth="1"/>
    <col min="15874" max="15876" width="11.796875" style="61" customWidth="1"/>
    <col min="15877" max="15879" width="13.5" style="61" customWidth="1"/>
    <col min="15880" max="15880" width="3" style="61" customWidth="1"/>
    <col min="15881" max="15881" width="13.69921875" style="61" customWidth="1"/>
    <col min="15882" max="15882" width="26.69921875" style="61" customWidth="1"/>
    <col min="15883" max="15886" width="13.69921875" style="61" customWidth="1"/>
    <col min="15887" max="16128" width="7.69921875" style="61"/>
    <col min="16129" max="16129" width="3.69921875" style="61" customWidth="1"/>
    <col min="16130" max="16132" width="11.796875" style="61" customWidth="1"/>
    <col min="16133" max="16135" width="13.5" style="61" customWidth="1"/>
    <col min="16136" max="16136" width="3" style="61" customWidth="1"/>
    <col min="16137" max="16137" width="13.69921875" style="61" customWidth="1"/>
    <col min="16138" max="16138" width="26.69921875" style="61" customWidth="1"/>
    <col min="16139" max="16142" width="13.69921875" style="61" customWidth="1"/>
    <col min="16143" max="16384" width="7.69921875" style="61"/>
  </cols>
  <sheetData>
    <row r="1" spans="1:14" s="66" customFormat="1" ht="15" customHeight="1">
      <c r="B1" s="184"/>
      <c r="C1" s="184"/>
      <c r="J1" s="65" t="s">
        <v>392</v>
      </c>
    </row>
    <row r="2" spans="1:14" s="74" customFormat="1" ht="15" customHeight="1">
      <c r="A2" s="75" t="s">
        <v>393</v>
      </c>
      <c r="B2" s="73"/>
      <c r="C2" s="73"/>
      <c r="D2" s="65"/>
      <c r="E2" s="65"/>
      <c r="F2" s="65"/>
      <c r="G2" s="158" t="str">
        <f>'SP11-1'!$L$2</f>
        <v>Spreadsheet released 14-Apr-2023</v>
      </c>
      <c r="H2" s="65"/>
      <c r="J2" s="159" t="s">
        <v>394</v>
      </c>
    </row>
    <row r="3" spans="1:14" s="66" customFormat="1" ht="15" customHeight="1">
      <c r="A3" s="73" t="s">
        <v>662</v>
      </c>
      <c r="B3" s="73"/>
      <c r="C3" s="73"/>
      <c r="D3" s="65"/>
      <c r="E3" s="65"/>
      <c r="F3" s="65"/>
      <c r="G3" s="65"/>
      <c r="H3" s="65"/>
    </row>
    <row r="4" spans="1:14" s="74" customFormat="1" ht="15" customHeight="1">
      <c r="A4" s="75"/>
      <c r="B4" s="726" t="s">
        <v>663</v>
      </c>
      <c r="C4" s="726"/>
      <c r="D4" s="726"/>
      <c r="E4" s="726"/>
      <c r="F4" s="726"/>
      <c r="G4" s="726"/>
      <c r="H4" s="726"/>
    </row>
    <row r="5" spans="1:14" s="74" customFormat="1" ht="39" customHeight="1">
      <c r="A5" s="75"/>
      <c r="B5" s="726"/>
      <c r="C5" s="726"/>
      <c r="D5" s="726"/>
      <c r="E5" s="726"/>
      <c r="F5" s="726"/>
      <c r="G5" s="726"/>
      <c r="H5" s="726"/>
    </row>
    <row r="6" spans="1:14" s="66" customFormat="1" ht="11.25" customHeight="1">
      <c r="A6" s="70"/>
      <c r="B6" s="70"/>
      <c r="C6" s="70"/>
      <c r="D6" s="65"/>
      <c r="E6" s="65"/>
      <c r="F6" s="65"/>
      <c r="G6" s="65"/>
      <c r="H6" s="65"/>
    </row>
    <row r="7" spans="1:14" s="66" customFormat="1" ht="3.75" customHeight="1">
      <c r="A7" s="271"/>
      <c r="B7" s="271"/>
      <c r="C7" s="271"/>
      <c r="D7" s="274"/>
      <c r="E7" s="274"/>
      <c r="F7" s="274"/>
      <c r="G7" s="274"/>
      <c r="H7" s="274"/>
    </row>
    <row r="8" spans="1:14" ht="19.5" customHeight="1">
      <c r="A8" s="272"/>
      <c r="B8" s="810" t="s">
        <v>664</v>
      </c>
      <c r="C8" s="810"/>
      <c r="D8" s="810"/>
      <c r="E8" s="811"/>
      <c r="F8" s="811"/>
      <c r="G8" s="811"/>
      <c r="H8" s="275"/>
    </row>
    <row r="9" spans="1:14" s="74" customFormat="1" ht="18" customHeight="1">
      <c r="A9" s="271"/>
      <c r="B9" s="738" t="s">
        <v>665</v>
      </c>
      <c r="C9" s="790"/>
      <c r="D9" s="790"/>
      <c r="E9" s="278" t="s">
        <v>666</v>
      </c>
      <c r="F9" s="279" t="s">
        <v>667</v>
      </c>
      <c r="G9" s="280" t="s">
        <v>668</v>
      </c>
      <c r="H9" s="274"/>
      <c r="J9" s="812" t="s">
        <v>988</v>
      </c>
      <c r="K9" s="813"/>
      <c r="L9" s="813"/>
      <c r="M9" s="813"/>
      <c r="N9" s="814"/>
    </row>
    <row r="10" spans="1:14" s="74" customFormat="1" ht="42" customHeight="1">
      <c r="A10" s="273">
        <v>1</v>
      </c>
      <c r="B10" s="738" t="s">
        <v>669</v>
      </c>
      <c r="C10" s="790"/>
      <c r="D10" s="790"/>
      <c r="E10" s="277"/>
      <c r="F10" s="281"/>
      <c r="G10" s="282"/>
      <c r="H10" s="274"/>
      <c r="J10" s="815" t="s">
        <v>989</v>
      </c>
      <c r="K10" s="816"/>
      <c r="L10" s="816"/>
      <c r="M10" s="816"/>
      <c r="N10" s="817"/>
    </row>
    <row r="11" spans="1:14" s="74" customFormat="1" ht="36.75" customHeight="1">
      <c r="A11" s="273">
        <v>2</v>
      </c>
      <c r="B11" s="738" t="s">
        <v>670</v>
      </c>
      <c r="C11" s="790"/>
      <c r="D11" s="790"/>
      <c r="E11" s="281">
        <f>E10</f>
        <v>0</v>
      </c>
      <c r="F11" s="281">
        <f>F10-E10</f>
        <v>0</v>
      </c>
      <c r="G11" s="499">
        <f>G10-F10</f>
        <v>0</v>
      </c>
      <c r="H11" s="274"/>
      <c r="J11" s="815" t="s">
        <v>990</v>
      </c>
      <c r="K11" s="816"/>
      <c r="L11" s="816"/>
      <c r="M11" s="816"/>
      <c r="N11" s="817"/>
    </row>
    <row r="12" spans="1:14" s="74" customFormat="1" ht="18" customHeight="1">
      <c r="A12" s="273">
        <v>3</v>
      </c>
      <c r="B12" s="738" t="s">
        <v>671</v>
      </c>
      <c r="C12" s="790"/>
      <c r="D12" s="790"/>
      <c r="E12" s="283">
        <v>1.04</v>
      </c>
      <c r="F12" s="284">
        <v>0.54</v>
      </c>
      <c r="G12" s="285">
        <v>0.21</v>
      </c>
      <c r="H12" s="274"/>
      <c r="J12" s="475"/>
      <c r="K12" s="476"/>
      <c r="L12" s="477"/>
      <c r="M12" s="478"/>
      <c r="N12" s="476"/>
    </row>
    <row r="13" spans="1:14" s="74" customFormat="1" ht="18" customHeight="1">
      <c r="A13" s="273">
        <v>4</v>
      </c>
      <c r="B13" s="738" t="s">
        <v>1002</v>
      </c>
      <c r="C13" s="790"/>
      <c r="D13" s="790"/>
      <c r="E13" s="818" t="str">
        <f xml:space="preserve"> IF(SUM(E11:G11)=0,"",SUMPRODUCT(E11:G11,E12:G12))</f>
        <v/>
      </c>
      <c r="F13" s="818"/>
      <c r="G13" s="818"/>
      <c r="H13" s="274"/>
      <c r="J13" s="479"/>
      <c r="K13" s="480"/>
      <c r="L13" s="480"/>
      <c r="M13" s="481"/>
      <c r="N13" s="476"/>
    </row>
    <row r="14" spans="1:14" s="74" customFormat="1" ht="102.75" customHeight="1">
      <c r="A14" s="273">
        <v>5</v>
      </c>
      <c r="B14" s="738" t="s">
        <v>672</v>
      </c>
      <c r="C14" s="790"/>
      <c r="D14" s="790"/>
      <c r="E14" s="819"/>
      <c r="F14" s="820"/>
      <c r="G14" s="821"/>
      <c r="H14" s="274"/>
      <c r="J14" s="809" t="s">
        <v>991</v>
      </c>
      <c r="K14" s="809"/>
      <c r="L14" s="809"/>
      <c r="M14" s="809"/>
      <c r="N14" s="809"/>
    </row>
    <row r="15" spans="1:14" s="74" customFormat="1" ht="18" customHeight="1">
      <c r="A15" s="273">
        <v>6</v>
      </c>
      <c r="B15" s="738" t="s">
        <v>1003</v>
      </c>
      <c r="C15" s="790"/>
      <c r="D15" s="790"/>
      <c r="E15" s="799" t="str">
        <f>IF(E14="","",4-E14)</f>
        <v/>
      </c>
      <c r="F15" s="800"/>
      <c r="G15" s="801"/>
      <c r="H15" s="274"/>
      <c r="J15" s="482"/>
      <c r="K15" s="483"/>
      <c r="L15" s="483"/>
      <c r="M15" s="484"/>
      <c r="N15" s="482"/>
    </row>
    <row r="16" spans="1:14" s="74" customFormat="1" ht="32.25" customHeight="1">
      <c r="A16" s="273">
        <v>7</v>
      </c>
      <c r="B16" s="738" t="s">
        <v>673</v>
      </c>
      <c r="C16" s="790"/>
      <c r="D16" s="790"/>
      <c r="E16" s="803"/>
      <c r="F16" s="804"/>
      <c r="G16" s="805"/>
      <c r="H16" s="276"/>
      <c r="J16" s="802" t="s">
        <v>1004</v>
      </c>
      <c r="K16" s="802"/>
      <c r="L16" s="802"/>
      <c r="M16" s="802"/>
      <c r="N16" s="802"/>
    </row>
    <row r="17" spans="1:14" s="74" customFormat="1" ht="36.75" customHeight="1">
      <c r="A17" s="273">
        <v>8</v>
      </c>
      <c r="B17" s="738" t="s">
        <v>674</v>
      </c>
      <c r="C17" s="790"/>
      <c r="D17" s="790"/>
      <c r="E17" s="806"/>
      <c r="F17" s="807"/>
      <c r="G17" s="808"/>
      <c r="H17" s="276"/>
      <c r="J17" s="791" t="s">
        <v>992</v>
      </c>
      <c r="K17" s="792"/>
      <c r="L17" s="792"/>
      <c r="M17" s="792"/>
      <c r="N17" s="793"/>
    </row>
    <row r="18" spans="1:14" s="74" customFormat="1" ht="52.5" customHeight="1">
      <c r="A18" s="273">
        <v>9</v>
      </c>
      <c r="B18" s="738" t="s">
        <v>675</v>
      </c>
      <c r="C18" s="790"/>
      <c r="D18" s="790"/>
      <c r="E18" s="794" t="str">
        <f>IF(OR(E13="",E15=""),"Please enter values for jobs and QoS",(IF(E16="",MAX(0,EXP(3.758+(0.747*E15)+(0.00001661*E13))),MAX(0,(-2076.1+(0.0061*E13)+(252.8*E15)+(1745.4*E16)+(0.844*E17))))))</f>
        <v>Please enter values for jobs and QoS</v>
      </c>
      <c r="F18" s="795"/>
      <c r="G18" s="795"/>
      <c r="H18" s="274"/>
      <c r="J18" s="802" t="s">
        <v>1005</v>
      </c>
      <c r="K18" s="802"/>
      <c r="L18" s="802"/>
      <c r="M18" s="802"/>
      <c r="N18" s="802"/>
    </row>
    <row r="19" spans="1:14" s="74" customFormat="1" ht="51.75" customHeight="1">
      <c r="A19" s="273">
        <v>10</v>
      </c>
      <c r="B19" s="738" t="s">
        <v>876</v>
      </c>
      <c r="C19" s="790"/>
      <c r="D19" s="790"/>
      <c r="E19" s="796"/>
      <c r="F19" s="619"/>
      <c r="G19" s="619"/>
      <c r="H19" s="270"/>
      <c r="J19" s="791" t="s">
        <v>993</v>
      </c>
      <c r="K19" s="792"/>
      <c r="L19" s="792"/>
      <c r="M19" s="792"/>
      <c r="N19" s="793"/>
    </row>
    <row r="20" spans="1:14" s="74" customFormat="1" ht="45.75" customHeight="1">
      <c r="A20" s="273">
        <v>11</v>
      </c>
      <c r="B20" s="738" t="s">
        <v>994</v>
      </c>
      <c r="C20" s="790"/>
      <c r="D20" s="790"/>
      <c r="E20" s="797" t="str">
        <f>IF(ISNUMBER(E18)=TRUE,MAX(0,E18+E19),"Parameters missing")</f>
        <v>Parameters missing</v>
      </c>
      <c r="F20" s="798"/>
      <c r="G20" s="798"/>
      <c r="H20" s="270"/>
      <c r="J20" s="791" t="s">
        <v>676</v>
      </c>
      <c r="K20" s="792"/>
      <c r="L20" s="792"/>
      <c r="M20" s="792"/>
      <c r="N20" s="793"/>
    </row>
    <row r="21" spans="1:14" s="74" customFormat="1" ht="18" customHeight="1">
      <c r="A21" s="269"/>
      <c r="B21" s="270"/>
      <c r="C21" s="270"/>
      <c r="D21" s="270"/>
      <c r="E21" s="270"/>
      <c r="F21" s="286"/>
      <c r="G21" s="270"/>
      <c r="H21" s="270"/>
    </row>
  </sheetData>
  <sheetProtection algorithmName="SHA-512" hashValue="HJqhBZe7QMhFpCo0CsYYhkMgyR2SkiGkQ3fgkQmIZAncVI4rBuQ+lNB9iIZnupk8RwE6LgyORGgcOP0XMaeXQg==" saltValue="YzK+09zhlf6qzMRekHZvFQ==" spinCount="100000" sheet="1" selectLockedCells="1"/>
  <protectedRanges>
    <protectedRange sqref="H8" name="Range1_1_1"/>
    <protectedRange sqref="C8:G8" name="Range1_1_1_1"/>
  </protectedRanges>
  <mergeCells count="31">
    <mergeCell ref="J14:N14"/>
    <mergeCell ref="B4:H5"/>
    <mergeCell ref="B8:G8"/>
    <mergeCell ref="B9:D9"/>
    <mergeCell ref="J9:N9"/>
    <mergeCell ref="B10:D10"/>
    <mergeCell ref="J10:N10"/>
    <mergeCell ref="B11:D11"/>
    <mergeCell ref="J11:N11"/>
    <mergeCell ref="E13:G13"/>
    <mergeCell ref="B12:D12"/>
    <mergeCell ref="B13:D13"/>
    <mergeCell ref="B14:D14"/>
    <mergeCell ref="E14:G14"/>
    <mergeCell ref="B15:D15"/>
    <mergeCell ref="E15:G15"/>
    <mergeCell ref="J16:N16"/>
    <mergeCell ref="J17:N17"/>
    <mergeCell ref="J18:N18"/>
    <mergeCell ref="B16:D16"/>
    <mergeCell ref="E16:G16"/>
    <mergeCell ref="B17:D17"/>
    <mergeCell ref="E17:G17"/>
    <mergeCell ref="B18:D18"/>
    <mergeCell ref="B19:D19"/>
    <mergeCell ref="B20:D20"/>
    <mergeCell ref="J19:N19"/>
    <mergeCell ref="J20:N20"/>
    <mergeCell ref="E18:G18"/>
    <mergeCell ref="E19:G19"/>
    <mergeCell ref="E20:G20"/>
  </mergeCells>
  <pageMargins left="0.74803149606299213" right="0.74803149606299213" top="0.98425196850393704" bottom="0.98425196850393704" header="0.51181102362204722" footer="0.51181102362204722"/>
  <pageSetup paperSize="9" scale="93" orientation="portrait" r:id="rId1"/>
  <headerFooter scaleWithDoc="0" alignWithMargins="0">
    <oddHeader>&amp;L&amp;"-,Regular"&amp;8&amp;F&amp;R&amp;"-,Regular"&amp;8&amp;A
_______________________________________________________________________________</oddHeader>
    <oddFooter>&amp;L&amp;"-,Regular"&amp;8_________________________________________________________________________________ 
NZ Transport Agency’s Economic evaluation manual 
Effective from Jul 2013</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725B-E73D-4EC9-823B-37B2E6CAC894}">
  <sheetPr>
    <pageSetUpPr fitToPage="1"/>
  </sheetPr>
  <dimension ref="A1:O80"/>
  <sheetViews>
    <sheetView topLeftCell="A10" zoomScaleNormal="100" workbookViewId="0">
      <selection activeCell="H12" sqref="H12"/>
    </sheetView>
  </sheetViews>
  <sheetFormatPr defaultRowHeight="12.6"/>
  <cols>
    <col min="1" max="9" width="9.19921875" style="74" customWidth="1"/>
    <col min="10" max="10" width="13.69921875" style="74" customWidth="1"/>
    <col min="11" max="11" width="26.69921875" style="74" customWidth="1"/>
    <col min="12" max="15" width="13.69921875" style="74" customWidth="1"/>
    <col min="16" max="256" width="9" style="74"/>
    <col min="257" max="265" width="9.19921875" style="74" customWidth="1"/>
    <col min="266" max="266" width="13.69921875" style="74" customWidth="1"/>
    <col min="267" max="267" width="26.69921875" style="74" customWidth="1"/>
    <col min="268" max="271" width="13.69921875" style="74" customWidth="1"/>
    <col min="272" max="512" width="9" style="74"/>
    <col min="513" max="521" width="9.19921875" style="74" customWidth="1"/>
    <col min="522" max="522" width="13.69921875" style="74" customWidth="1"/>
    <col min="523" max="523" width="26.69921875" style="74" customWidth="1"/>
    <col min="524" max="527" width="13.69921875" style="74" customWidth="1"/>
    <col min="528" max="768" width="9" style="74"/>
    <col min="769" max="777" width="9.19921875" style="74" customWidth="1"/>
    <col min="778" max="778" width="13.69921875" style="74" customWidth="1"/>
    <col min="779" max="779" width="26.69921875" style="74" customWidth="1"/>
    <col min="780" max="783" width="13.69921875" style="74" customWidth="1"/>
    <col min="784" max="1024" width="9" style="74"/>
    <col min="1025" max="1033" width="9.19921875" style="74" customWidth="1"/>
    <col min="1034" max="1034" width="13.69921875" style="74" customWidth="1"/>
    <col min="1035" max="1035" width="26.69921875" style="74" customWidth="1"/>
    <col min="1036" max="1039" width="13.69921875" style="74" customWidth="1"/>
    <col min="1040" max="1280" width="9" style="74"/>
    <col min="1281" max="1289" width="9.19921875" style="74" customWidth="1"/>
    <col min="1290" max="1290" width="13.69921875" style="74" customWidth="1"/>
    <col min="1291" max="1291" width="26.69921875" style="74" customWidth="1"/>
    <col min="1292" max="1295" width="13.69921875" style="74" customWidth="1"/>
    <col min="1296" max="1536" width="9" style="74"/>
    <col min="1537" max="1545" width="9.19921875" style="74" customWidth="1"/>
    <col min="1546" max="1546" width="13.69921875" style="74" customWidth="1"/>
    <col min="1547" max="1547" width="26.69921875" style="74" customWidth="1"/>
    <col min="1548" max="1551" width="13.69921875" style="74" customWidth="1"/>
    <col min="1552" max="1792" width="9" style="74"/>
    <col min="1793" max="1801" width="9.19921875" style="74" customWidth="1"/>
    <col min="1802" max="1802" width="13.69921875" style="74" customWidth="1"/>
    <col min="1803" max="1803" width="26.69921875" style="74" customWidth="1"/>
    <col min="1804" max="1807" width="13.69921875" style="74" customWidth="1"/>
    <col min="1808" max="2048" width="9" style="74"/>
    <col min="2049" max="2057" width="9.19921875" style="74" customWidth="1"/>
    <col min="2058" max="2058" width="13.69921875" style="74" customWidth="1"/>
    <col min="2059" max="2059" width="26.69921875" style="74" customWidth="1"/>
    <col min="2060" max="2063" width="13.69921875" style="74" customWidth="1"/>
    <col min="2064" max="2304" width="9" style="74"/>
    <col min="2305" max="2313" width="9.19921875" style="74" customWidth="1"/>
    <col min="2314" max="2314" width="13.69921875" style="74" customWidth="1"/>
    <col min="2315" max="2315" width="26.69921875" style="74" customWidth="1"/>
    <col min="2316" max="2319" width="13.69921875" style="74" customWidth="1"/>
    <col min="2320" max="2560" width="9" style="74"/>
    <col min="2561" max="2569" width="9.19921875" style="74" customWidth="1"/>
    <col min="2570" max="2570" width="13.69921875" style="74" customWidth="1"/>
    <col min="2571" max="2571" width="26.69921875" style="74" customWidth="1"/>
    <col min="2572" max="2575" width="13.69921875" style="74" customWidth="1"/>
    <col min="2576" max="2816" width="9" style="74"/>
    <col min="2817" max="2825" width="9.19921875" style="74" customWidth="1"/>
    <col min="2826" max="2826" width="13.69921875" style="74" customWidth="1"/>
    <col min="2827" max="2827" width="26.69921875" style="74" customWidth="1"/>
    <col min="2828" max="2831" width="13.69921875" style="74" customWidth="1"/>
    <col min="2832" max="3072" width="9" style="74"/>
    <col min="3073" max="3081" width="9.19921875" style="74" customWidth="1"/>
    <col min="3082" max="3082" width="13.69921875" style="74" customWidth="1"/>
    <col min="3083" max="3083" width="26.69921875" style="74" customWidth="1"/>
    <col min="3084" max="3087" width="13.69921875" style="74" customWidth="1"/>
    <col min="3088" max="3328" width="9" style="74"/>
    <col min="3329" max="3337" width="9.19921875" style="74" customWidth="1"/>
    <col min="3338" max="3338" width="13.69921875" style="74" customWidth="1"/>
    <col min="3339" max="3339" width="26.69921875" style="74" customWidth="1"/>
    <col min="3340" max="3343" width="13.69921875" style="74" customWidth="1"/>
    <col min="3344" max="3584" width="9" style="74"/>
    <col min="3585" max="3593" width="9.19921875" style="74" customWidth="1"/>
    <col min="3594" max="3594" width="13.69921875" style="74" customWidth="1"/>
    <col min="3595" max="3595" width="26.69921875" style="74" customWidth="1"/>
    <col min="3596" max="3599" width="13.69921875" style="74" customWidth="1"/>
    <col min="3600" max="3840" width="9" style="74"/>
    <col min="3841" max="3849" width="9.19921875" style="74" customWidth="1"/>
    <col min="3850" max="3850" width="13.69921875" style="74" customWidth="1"/>
    <col min="3851" max="3851" width="26.69921875" style="74" customWidth="1"/>
    <col min="3852" max="3855" width="13.69921875" style="74" customWidth="1"/>
    <col min="3856" max="4096" width="9" style="74"/>
    <col min="4097" max="4105" width="9.19921875" style="74" customWidth="1"/>
    <col min="4106" max="4106" width="13.69921875" style="74" customWidth="1"/>
    <col min="4107" max="4107" width="26.69921875" style="74" customWidth="1"/>
    <col min="4108" max="4111" width="13.69921875" style="74" customWidth="1"/>
    <col min="4112" max="4352" width="9" style="74"/>
    <col min="4353" max="4361" width="9.19921875" style="74" customWidth="1"/>
    <col min="4362" max="4362" width="13.69921875" style="74" customWidth="1"/>
    <col min="4363" max="4363" width="26.69921875" style="74" customWidth="1"/>
    <col min="4364" max="4367" width="13.69921875" style="74" customWidth="1"/>
    <col min="4368" max="4608" width="9" style="74"/>
    <col min="4609" max="4617" width="9.19921875" style="74" customWidth="1"/>
    <col min="4618" max="4618" width="13.69921875" style="74" customWidth="1"/>
    <col min="4619" max="4619" width="26.69921875" style="74" customWidth="1"/>
    <col min="4620" max="4623" width="13.69921875" style="74" customWidth="1"/>
    <col min="4624" max="4864" width="9" style="74"/>
    <col min="4865" max="4873" width="9.19921875" style="74" customWidth="1"/>
    <col min="4874" max="4874" width="13.69921875" style="74" customWidth="1"/>
    <col min="4875" max="4875" width="26.69921875" style="74" customWidth="1"/>
    <col min="4876" max="4879" width="13.69921875" style="74" customWidth="1"/>
    <col min="4880" max="5120" width="9" style="74"/>
    <col min="5121" max="5129" width="9.19921875" style="74" customWidth="1"/>
    <col min="5130" max="5130" width="13.69921875" style="74" customWidth="1"/>
    <col min="5131" max="5131" width="26.69921875" style="74" customWidth="1"/>
    <col min="5132" max="5135" width="13.69921875" style="74" customWidth="1"/>
    <col min="5136" max="5376" width="9" style="74"/>
    <col min="5377" max="5385" width="9.19921875" style="74" customWidth="1"/>
    <col min="5386" max="5386" width="13.69921875" style="74" customWidth="1"/>
    <col min="5387" max="5387" width="26.69921875" style="74" customWidth="1"/>
    <col min="5388" max="5391" width="13.69921875" style="74" customWidth="1"/>
    <col min="5392" max="5632" width="9" style="74"/>
    <col min="5633" max="5641" width="9.19921875" style="74" customWidth="1"/>
    <col min="5642" max="5642" width="13.69921875" style="74" customWidth="1"/>
    <col min="5643" max="5643" width="26.69921875" style="74" customWidth="1"/>
    <col min="5644" max="5647" width="13.69921875" style="74" customWidth="1"/>
    <col min="5648" max="5888" width="9" style="74"/>
    <col min="5889" max="5897" width="9.19921875" style="74" customWidth="1"/>
    <col min="5898" max="5898" width="13.69921875" style="74" customWidth="1"/>
    <col min="5899" max="5899" width="26.69921875" style="74" customWidth="1"/>
    <col min="5900" max="5903" width="13.69921875" style="74" customWidth="1"/>
    <col min="5904" max="6144" width="9" style="74"/>
    <col min="6145" max="6153" width="9.19921875" style="74" customWidth="1"/>
    <col min="6154" max="6154" width="13.69921875" style="74" customWidth="1"/>
    <col min="6155" max="6155" width="26.69921875" style="74" customWidth="1"/>
    <col min="6156" max="6159" width="13.69921875" style="74" customWidth="1"/>
    <col min="6160" max="6400" width="9" style="74"/>
    <col min="6401" max="6409" width="9.19921875" style="74" customWidth="1"/>
    <col min="6410" max="6410" width="13.69921875" style="74" customWidth="1"/>
    <col min="6411" max="6411" width="26.69921875" style="74" customWidth="1"/>
    <col min="6412" max="6415" width="13.69921875" style="74" customWidth="1"/>
    <col min="6416" max="6656" width="9" style="74"/>
    <col min="6657" max="6665" width="9.19921875" style="74" customWidth="1"/>
    <col min="6666" max="6666" width="13.69921875" style="74" customWidth="1"/>
    <col min="6667" max="6667" width="26.69921875" style="74" customWidth="1"/>
    <col min="6668" max="6671" width="13.69921875" style="74" customWidth="1"/>
    <col min="6672" max="6912" width="9" style="74"/>
    <col min="6913" max="6921" width="9.19921875" style="74" customWidth="1"/>
    <col min="6922" max="6922" width="13.69921875" style="74" customWidth="1"/>
    <col min="6923" max="6923" width="26.69921875" style="74" customWidth="1"/>
    <col min="6924" max="6927" width="13.69921875" style="74" customWidth="1"/>
    <col min="6928" max="7168" width="9" style="74"/>
    <col min="7169" max="7177" width="9.19921875" style="74" customWidth="1"/>
    <col min="7178" max="7178" width="13.69921875" style="74" customWidth="1"/>
    <col min="7179" max="7179" width="26.69921875" style="74" customWidth="1"/>
    <col min="7180" max="7183" width="13.69921875" style="74" customWidth="1"/>
    <col min="7184" max="7424" width="9" style="74"/>
    <col min="7425" max="7433" width="9.19921875" style="74" customWidth="1"/>
    <col min="7434" max="7434" width="13.69921875" style="74" customWidth="1"/>
    <col min="7435" max="7435" width="26.69921875" style="74" customWidth="1"/>
    <col min="7436" max="7439" width="13.69921875" style="74" customWidth="1"/>
    <col min="7440" max="7680" width="9" style="74"/>
    <col min="7681" max="7689" width="9.19921875" style="74" customWidth="1"/>
    <col min="7690" max="7690" width="13.69921875" style="74" customWidth="1"/>
    <col min="7691" max="7691" width="26.69921875" style="74" customWidth="1"/>
    <col min="7692" max="7695" width="13.69921875" style="74" customWidth="1"/>
    <col min="7696" max="7936" width="9" style="74"/>
    <col min="7937" max="7945" width="9.19921875" style="74" customWidth="1"/>
    <col min="7946" max="7946" width="13.69921875" style="74" customWidth="1"/>
    <col min="7947" max="7947" width="26.69921875" style="74" customWidth="1"/>
    <col min="7948" max="7951" width="13.69921875" style="74" customWidth="1"/>
    <col min="7952" max="8192" width="9" style="74"/>
    <col min="8193" max="8201" width="9.19921875" style="74" customWidth="1"/>
    <col min="8202" max="8202" width="13.69921875" style="74" customWidth="1"/>
    <col min="8203" max="8203" width="26.69921875" style="74" customWidth="1"/>
    <col min="8204" max="8207" width="13.69921875" style="74" customWidth="1"/>
    <col min="8208" max="8448" width="9" style="74"/>
    <col min="8449" max="8457" width="9.19921875" style="74" customWidth="1"/>
    <col min="8458" max="8458" width="13.69921875" style="74" customWidth="1"/>
    <col min="8459" max="8459" width="26.69921875" style="74" customWidth="1"/>
    <col min="8460" max="8463" width="13.69921875" style="74" customWidth="1"/>
    <col min="8464" max="8704" width="9" style="74"/>
    <col min="8705" max="8713" width="9.19921875" style="74" customWidth="1"/>
    <col min="8714" max="8714" width="13.69921875" style="74" customWidth="1"/>
    <col min="8715" max="8715" width="26.69921875" style="74" customWidth="1"/>
    <col min="8716" max="8719" width="13.69921875" style="74" customWidth="1"/>
    <col min="8720" max="8960" width="9" style="74"/>
    <col min="8961" max="8969" width="9.19921875" style="74" customWidth="1"/>
    <col min="8970" max="8970" width="13.69921875" style="74" customWidth="1"/>
    <col min="8971" max="8971" width="26.69921875" style="74" customWidth="1"/>
    <col min="8972" max="8975" width="13.69921875" style="74" customWidth="1"/>
    <col min="8976" max="9216" width="9" style="74"/>
    <col min="9217" max="9225" width="9.19921875" style="74" customWidth="1"/>
    <col min="9226" max="9226" width="13.69921875" style="74" customWidth="1"/>
    <col min="9227" max="9227" width="26.69921875" style="74" customWidth="1"/>
    <col min="9228" max="9231" width="13.69921875" style="74" customWidth="1"/>
    <col min="9232" max="9472" width="9" style="74"/>
    <col min="9473" max="9481" width="9.19921875" style="74" customWidth="1"/>
    <col min="9482" max="9482" width="13.69921875" style="74" customWidth="1"/>
    <col min="9483" max="9483" width="26.69921875" style="74" customWidth="1"/>
    <col min="9484" max="9487" width="13.69921875" style="74" customWidth="1"/>
    <col min="9488" max="9728" width="9" style="74"/>
    <col min="9729" max="9737" width="9.19921875" style="74" customWidth="1"/>
    <col min="9738" max="9738" width="13.69921875" style="74" customWidth="1"/>
    <col min="9739" max="9739" width="26.69921875" style="74" customWidth="1"/>
    <col min="9740" max="9743" width="13.69921875" style="74" customWidth="1"/>
    <col min="9744" max="9984" width="9" style="74"/>
    <col min="9985" max="9993" width="9.19921875" style="74" customWidth="1"/>
    <col min="9994" max="9994" width="13.69921875" style="74" customWidth="1"/>
    <col min="9995" max="9995" width="26.69921875" style="74" customWidth="1"/>
    <col min="9996" max="9999" width="13.69921875" style="74" customWidth="1"/>
    <col min="10000" max="10240" width="9" style="74"/>
    <col min="10241" max="10249" width="9.19921875" style="74" customWidth="1"/>
    <col min="10250" max="10250" width="13.69921875" style="74" customWidth="1"/>
    <col min="10251" max="10251" width="26.69921875" style="74" customWidth="1"/>
    <col min="10252" max="10255" width="13.69921875" style="74" customWidth="1"/>
    <col min="10256" max="10496" width="9" style="74"/>
    <col min="10497" max="10505" width="9.19921875" style="74" customWidth="1"/>
    <col min="10506" max="10506" width="13.69921875" style="74" customWidth="1"/>
    <col min="10507" max="10507" width="26.69921875" style="74" customWidth="1"/>
    <col min="10508" max="10511" width="13.69921875" style="74" customWidth="1"/>
    <col min="10512" max="10752" width="9" style="74"/>
    <col min="10753" max="10761" width="9.19921875" style="74" customWidth="1"/>
    <col min="10762" max="10762" width="13.69921875" style="74" customWidth="1"/>
    <col min="10763" max="10763" width="26.69921875" style="74" customWidth="1"/>
    <col min="10764" max="10767" width="13.69921875" style="74" customWidth="1"/>
    <col min="10768" max="11008" width="9" style="74"/>
    <col min="11009" max="11017" width="9.19921875" style="74" customWidth="1"/>
    <col min="11018" max="11018" width="13.69921875" style="74" customWidth="1"/>
    <col min="11019" max="11019" width="26.69921875" style="74" customWidth="1"/>
    <col min="11020" max="11023" width="13.69921875" style="74" customWidth="1"/>
    <col min="11024" max="11264" width="9" style="74"/>
    <col min="11265" max="11273" width="9.19921875" style="74" customWidth="1"/>
    <col min="11274" max="11274" width="13.69921875" style="74" customWidth="1"/>
    <col min="11275" max="11275" width="26.69921875" style="74" customWidth="1"/>
    <col min="11276" max="11279" width="13.69921875" style="74" customWidth="1"/>
    <col min="11280" max="11520" width="9" style="74"/>
    <col min="11521" max="11529" width="9.19921875" style="74" customWidth="1"/>
    <col min="11530" max="11530" width="13.69921875" style="74" customWidth="1"/>
    <col min="11531" max="11531" width="26.69921875" style="74" customWidth="1"/>
    <col min="11532" max="11535" width="13.69921875" style="74" customWidth="1"/>
    <col min="11536" max="11776" width="9" style="74"/>
    <col min="11777" max="11785" width="9.19921875" style="74" customWidth="1"/>
    <col min="11786" max="11786" width="13.69921875" style="74" customWidth="1"/>
    <col min="11787" max="11787" width="26.69921875" style="74" customWidth="1"/>
    <col min="11788" max="11791" width="13.69921875" style="74" customWidth="1"/>
    <col min="11792" max="12032" width="9" style="74"/>
    <col min="12033" max="12041" width="9.19921875" style="74" customWidth="1"/>
    <col min="12042" max="12042" width="13.69921875" style="74" customWidth="1"/>
    <col min="12043" max="12043" width="26.69921875" style="74" customWidth="1"/>
    <col min="12044" max="12047" width="13.69921875" style="74" customWidth="1"/>
    <col min="12048" max="12288" width="9" style="74"/>
    <col min="12289" max="12297" width="9.19921875" style="74" customWidth="1"/>
    <col min="12298" max="12298" width="13.69921875" style="74" customWidth="1"/>
    <col min="12299" max="12299" width="26.69921875" style="74" customWidth="1"/>
    <col min="12300" max="12303" width="13.69921875" style="74" customWidth="1"/>
    <col min="12304" max="12544" width="9" style="74"/>
    <col min="12545" max="12553" width="9.19921875" style="74" customWidth="1"/>
    <col min="12554" max="12554" width="13.69921875" style="74" customWidth="1"/>
    <col min="12555" max="12555" width="26.69921875" style="74" customWidth="1"/>
    <col min="12556" max="12559" width="13.69921875" style="74" customWidth="1"/>
    <col min="12560" max="12800" width="9" style="74"/>
    <col min="12801" max="12809" width="9.19921875" style="74" customWidth="1"/>
    <col min="12810" max="12810" width="13.69921875" style="74" customWidth="1"/>
    <col min="12811" max="12811" width="26.69921875" style="74" customWidth="1"/>
    <col min="12812" max="12815" width="13.69921875" style="74" customWidth="1"/>
    <col min="12816" max="13056" width="9" style="74"/>
    <col min="13057" max="13065" width="9.19921875" style="74" customWidth="1"/>
    <col min="13066" max="13066" width="13.69921875" style="74" customWidth="1"/>
    <col min="13067" max="13067" width="26.69921875" style="74" customWidth="1"/>
    <col min="13068" max="13071" width="13.69921875" style="74" customWidth="1"/>
    <col min="13072" max="13312" width="9" style="74"/>
    <col min="13313" max="13321" width="9.19921875" style="74" customWidth="1"/>
    <col min="13322" max="13322" width="13.69921875" style="74" customWidth="1"/>
    <col min="13323" max="13323" width="26.69921875" style="74" customWidth="1"/>
    <col min="13324" max="13327" width="13.69921875" style="74" customWidth="1"/>
    <col min="13328" max="13568" width="9" style="74"/>
    <col min="13569" max="13577" width="9.19921875" style="74" customWidth="1"/>
    <col min="13578" max="13578" width="13.69921875" style="74" customWidth="1"/>
    <col min="13579" max="13579" width="26.69921875" style="74" customWidth="1"/>
    <col min="13580" max="13583" width="13.69921875" style="74" customWidth="1"/>
    <col min="13584" max="13824" width="9" style="74"/>
    <col min="13825" max="13833" width="9.19921875" style="74" customWidth="1"/>
    <col min="13834" max="13834" width="13.69921875" style="74" customWidth="1"/>
    <col min="13835" max="13835" width="26.69921875" style="74" customWidth="1"/>
    <col min="13836" max="13839" width="13.69921875" style="74" customWidth="1"/>
    <col min="13840" max="14080" width="9" style="74"/>
    <col min="14081" max="14089" width="9.19921875" style="74" customWidth="1"/>
    <col min="14090" max="14090" width="13.69921875" style="74" customWidth="1"/>
    <col min="14091" max="14091" width="26.69921875" style="74" customWidth="1"/>
    <col min="14092" max="14095" width="13.69921875" style="74" customWidth="1"/>
    <col min="14096" max="14336" width="9" style="74"/>
    <col min="14337" max="14345" width="9.19921875" style="74" customWidth="1"/>
    <col min="14346" max="14346" width="13.69921875" style="74" customWidth="1"/>
    <col min="14347" max="14347" width="26.69921875" style="74" customWidth="1"/>
    <col min="14348" max="14351" width="13.69921875" style="74" customWidth="1"/>
    <col min="14352" max="14592" width="9" style="74"/>
    <col min="14593" max="14601" width="9.19921875" style="74" customWidth="1"/>
    <col min="14602" max="14602" width="13.69921875" style="74" customWidth="1"/>
    <col min="14603" max="14603" width="26.69921875" style="74" customWidth="1"/>
    <col min="14604" max="14607" width="13.69921875" style="74" customWidth="1"/>
    <col min="14608" max="14848" width="9" style="74"/>
    <col min="14849" max="14857" width="9.19921875" style="74" customWidth="1"/>
    <col min="14858" max="14858" width="13.69921875" style="74" customWidth="1"/>
    <col min="14859" max="14859" width="26.69921875" style="74" customWidth="1"/>
    <col min="14860" max="14863" width="13.69921875" style="74" customWidth="1"/>
    <col min="14864" max="15104" width="9" style="74"/>
    <col min="15105" max="15113" width="9.19921875" style="74" customWidth="1"/>
    <col min="15114" max="15114" width="13.69921875" style="74" customWidth="1"/>
    <col min="15115" max="15115" width="26.69921875" style="74" customWidth="1"/>
    <col min="15116" max="15119" width="13.69921875" style="74" customWidth="1"/>
    <col min="15120" max="15360" width="9" style="74"/>
    <col min="15361" max="15369" width="9.19921875" style="74" customWidth="1"/>
    <col min="15370" max="15370" width="13.69921875" style="74" customWidth="1"/>
    <col min="15371" max="15371" width="26.69921875" style="74" customWidth="1"/>
    <col min="15372" max="15375" width="13.69921875" style="74" customWidth="1"/>
    <col min="15376" max="15616" width="9" style="74"/>
    <col min="15617" max="15625" width="9.19921875" style="74" customWidth="1"/>
    <col min="15626" max="15626" width="13.69921875" style="74" customWidth="1"/>
    <col min="15627" max="15627" width="26.69921875" style="74" customWidth="1"/>
    <col min="15628" max="15631" width="13.69921875" style="74" customWidth="1"/>
    <col min="15632" max="15872" width="9" style="74"/>
    <col min="15873" max="15881" width="9.19921875" style="74" customWidth="1"/>
    <col min="15882" max="15882" width="13.69921875" style="74" customWidth="1"/>
    <col min="15883" max="15883" width="26.69921875" style="74" customWidth="1"/>
    <col min="15884" max="15887" width="13.69921875" style="74" customWidth="1"/>
    <col min="15888" max="16128" width="9" style="74"/>
    <col min="16129" max="16137" width="9.19921875" style="74" customWidth="1"/>
    <col min="16138" max="16138" width="13.69921875" style="74" customWidth="1"/>
    <col min="16139" max="16139" width="26.69921875" style="74" customWidth="1"/>
    <col min="16140" max="16143" width="13.69921875" style="74" customWidth="1"/>
    <col min="16144" max="16384" width="9" style="74"/>
  </cols>
  <sheetData>
    <row r="1" spans="1:15" s="66" customFormat="1" ht="15" customHeight="1">
      <c r="K1" s="65" t="s">
        <v>392</v>
      </c>
    </row>
    <row r="2" spans="1:15" ht="15" customHeight="1">
      <c r="A2" s="75" t="s">
        <v>393</v>
      </c>
      <c r="B2" s="65"/>
      <c r="C2" s="65"/>
      <c r="D2" s="65"/>
      <c r="H2" s="158" t="str">
        <f>'SP11-1'!$L$2</f>
        <v>Spreadsheet released 14-Apr-2023</v>
      </c>
      <c r="K2" s="159" t="s">
        <v>394</v>
      </c>
    </row>
    <row r="3" spans="1:15" s="66" customFormat="1" ht="15" customHeight="1">
      <c r="A3" s="73" t="s">
        <v>677</v>
      </c>
      <c r="B3" s="65"/>
      <c r="C3" s="65"/>
      <c r="D3" s="65"/>
    </row>
    <row r="4" spans="1:15" s="66" customFormat="1" ht="15" customHeight="1" thickBot="1">
      <c r="A4" s="65"/>
      <c r="B4" s="65"/>
      <c r="C4" s="65"/>
      <c r="D4" s="65"/>
      <c r="E4" s="65"/>
      <c r="F4" s="65"/>
      <c r="G4" s="65"/>
      <c r="H4" s="65"/>
      <c r="I4" s="65"/>
    </row>
    <row r="5" spans="1:15" s="66" customFormat="1" ht="18.75" customHeight="1" thickBot="1">
      <c r="A5" s="204" t="s">
        <v>499</v>
      </c>
      <c r="B5" s="204"/>
      <c r="C5" s="204"/>
      <c r="D5" s="204"/>
      <c r="E5" s="205" t="s">
        <v>410</v>
      </c>
      <c r="F5" s="205">
        <f>'SP11-1'!I26</f>
        <v>0</v>
      </c>
      <c r="G5" s="204"/>
      <c r="H5" s="204"/>
      <c r="I5" s="204"/>
    </row>
    <row r="6" spans="1:15" s="66" customFormat="1" ht="18.75" customHeight="1" thickBot="1">
      <c r="A6" s="204" t="s">
        <v>678</v>
      </c>
      <c r="B6" s="204"/>
      <c r="C6" s="204"/>
      <c r="D6" s="204"/>
      <c r="E6" s="205" t="s">
        <v>410</v>
      </c>
      <c r="F6" s="205">
        <f>'SP11-1'!I33</f>
        <v>0</v>
      </c>
      <c r="G6" s="204"/>
      <c r="H6" s="204"/>
      <c r="I6" s="204"/>
    </row>
    <row r="7" spans="1:15" s="66" customFormat="1" ht="18.75" customHeight="1" thickBot="1">
      <c r="A7" s="204"/>
      <c r="B7" s="204"/>
      <c r="C7" s="204"/>
      <c r="D7" s="204"/>
      <c r="E7" s="204"/>
      <c r="F7" s="204"/>
      <c r="G7" s="204"/>
      <c r="H7" s="204"/>
      <c r="I7" s="204"/>
    </row>
    <row r="8" spans="1:15" s="66" customFormat="1" ht="30" customHeight="1" thickBot="1">
      <c r="A8" s="827" t="s">
        <v>679</v>
      </c>
      <c r="B8" s="827"/>
      <c r="C8" s="827"/>
      <c r="D8" s="827"/>
      <c r="E8" s="206" t="s">
        <v>546</v>
      </c>
      <c r="F8" s="207" t="s">
        <v>680</v>
      </c>
      <c r="G8" s="207" t="s">
        <v>681</v>
      </c>
      <c r="H8" s="207" t="s">
        <v>682</v>
      </c>
      <c r="I8" s="207" t="s">
        <v>683</v>
      </c>
    </row>
    <row r="9" spans="1:15" s="66" customFormat="1" ht="18.75" customHeight="1" thickBot="1">
      <c r="A9" s="826" t="s">
        <v>684</v>
      </c>
      <c r="B9" s="826"/>
      <c r="C9" s="826"/>
      <c r="D9" s="826"/>
      <c r="E9" s="826"/>
      <c r="F9" s="826"/>
      <c r="G9" s="826"/>
      <c r="H9" s="826"/>
      <c r="I9" s="826"/>
    </row>
    <row r="10" spans="1:15" s="66" customFormat="1" ht="18.75" customHeight="1" thickTop="1" thickBot="1">
      <c r="A10" s="208" t="s">
        <v>685</v>
      </c>
      <c r="B10" s="208"/>
      <c r="C10" s="209"/>
      <c r="D10" s="210"/>
      <c r="E10" s="211"/>
      <c r="F10" s="211"/>
      <c r="G10" s="211"/>
      <c r="H10" s="211"/>
      <c r="I10" s="211"/>
      <c r="K10" s="828" t="s">
        <v>686</v>
      </c>
      <c r="L10" s="829"/>
      <c r="M10" s="829"/>
      <c r="N10" s="829"/>
      <c r="O10" s="829"/>
    </row>
    <row r="11" spans="1:15" s="66" customFormat="1" ht="18.75" customHeight="1" thickTop="1" thickBot="1">
      <c r="A11" s="208" t="s">
        <v>687</v>
      </c>
      <c r="B11" s="208"/>
      <c r="C11" s="209"/>
      <c r="D11" s="210"/>
      <c r="E11" s="211"/>
      <c r="F11" s="211"/>
      <c r="G11" s="211"/>
      <c r="H11" s="211"/>
      <c r="I11" s="211"/>
      <c r="K11" s="829"/>
      <c r="L11" s="829"/>
      <c r="M11" s="829"/>
      <c r="N11" s="829"/>
      <c r="O11" s="829"/>
    </row>
    <row r="12" spans="1:15" s="66" customFormat="1" ht="18.75" customHeight="1" thickTop="1" thickBot="1">
      <c r="A12" s="208" t="s">
        <v>688</v>
      </c>
      <c r="B12" s="208"/>
      <c r="C12" s="209"/>
      <c r="D12" s="210"/>
      <c r="E12" s="211"/>
      <c r="F12" s="211"/>
      <c r="G12" s="211"/>
      <c r="H12" s="211"/>
      <c r="I12" s="211"/>
      <c r="K12" s="829"/>
      <c r="L12" s="829"/>
      <c r="M12" s="829"/>
      <c r="N12" s="829"/>
      <c r="O12" s="829"/>
    </row>
    <row r="13" spans="1:15" s="66" customFormat="1" ht="18.75" customHeight="1" thickBot="1">
      <c r="A13" s="826" t="s">
        <v>689</v>
      </c>
      <c r="B13" s="826"/>
      <c r="C13" s="826"/>
      <c r="D13" s="826"/>
      <c r="E13" s="212">
        <f>SUM(E10:E12)</f>
        <v>0</v>
      </c>
      <c r="F13" s="212">
        <f>SUM(F10:F12)</f>
        <v>0</v>
      </c>
      <c r="G13" s="212">
        <f>SUM(G10:G12)</f>
        <v>0</v>
      </c>
      <c r="H13" s="212">
        <f>SUM(H10:H12)</f>
        <v>0</v>
      </c>
      <c r="I13" s="212">
        <f>SUM(I10:I12)</f>
        <v>0</v>
      </c>
    </row>
    <row r="14" spans="1:15" s="66" customFormat="1" ht="18.75" customHeight="1" thickBot="1">
      <c r="A14" s="826" t="s">
        <v>262</v>
      </c>
      <c r="B14" s="826"/>
      <c r="C14" s="826"/>
      <c r="D14" s="826"/>
      <c r="E14" s="826"/>
      <c r="F14" s="826"/>
      <c r="G14" s="826"/>
      <c r="H14" s="826"/>
      <c r="I14" s="826"/>
    </row>
    <row r="15" spans="1:15" s="66" customFormat="1" ht="18.75" customHeight="1" thickBot="1">
      <c r="A15" s="213" t="s">
        <v>690</v>
      </c>
      <c r="B15" s="213"/>
      <c r="C15" s="213"/>
      <c r="D15" s="213"/>
      <c r="E15" s="211"/>
      <c r="F15" s="211"/>
      <c r="G15" s="211"/>
      <c r="H15" s="211"/>
      <c r="I15" s="211"/>
    </row>
    <row r="16" spans="1:15" s="66" customFormat="1" ht="18.75" customHeight="1" thickBot="1">
      <c r="A16" s="213" t="s">
        <v>691</v>
      </c>
      <c r="B16" s="213"/>
      <c r="C16" s="213"/>
      <c r="D16" s="213"/>
      <c r="E16" s="211"/>
      <c r="F16" s="211"/>
      <c r="G16" s="211"/>
      <c r="H16" s="211"/>
      <c r="I16" s="211"/>
    </row>
    <row r="17" spans="1:15" s="66" customFormat="1" ht="18.75" customHeight="1" thickBot="1">
      <c r="A17" s="826" t="s">
        <v>692</v>
      </c>
      <c r="B17" s="826"/>
      <c r="C17" s="826"/>
      <c r="D17" s="826"/>
      <c r="E17" s="212">
        <f>SUM(E15:E16)</f>
        <v>0</v>
      </c>
      <c r="F17" s="212">
        <f>SUM(F15:F16)</f>
        <v>0</v>
      </c>
      <c r="G17" s="212">
        <f>SUM(G15:G16)</f>
        <v>0</v>
      </c>
      <c r="H17" s="212">
        <f>SUM(H15:H16)</f>
        <v>0</v>
      </c>
      <c r="I17" s="212">
        <f>SUM(I15:I16)</f>
        <v>0</v>
      </c>
    </row>
    <row r="18" spans="1:15" s="66" customFormat="1" ht="18.75" customHeight="1" thickBot="1">
      <c r="A18" s="214"/>
      <c r="B18" s="214"/>
      <c r="C18" s="214"/>
      <c r="D18" s="214"/>
      <c r="E18" s="214"/>
      <c r="F18" s="214"/>
      <c r="G18" s="214"/>
      <c r="H18" s="214"/>
      <c r="I18" s="214"/>
    </row>
    <row r="19" spans="1:15" s="66" customFormat="1" ht="18.75" customHeight="1" thickBot="1">
      <c r="A19" s="822" t="s">
        <v>693</v>
      </c>
      <c r="B19" s="822"/>
      <c r="C19" s="822"/>
      <c r="D19" s="822"/>
      <c r="E19" s="215"/>
      <c r="F19" s="216">
        <f>IF(F17=0,0,(F13-$E13)/(F17-$E17))</f>
        <v>0</v>
      </c>
      <c r="G19" s="216">
        <f>IF(G17=0,0,(G13-$E13)/(G17-$E17))</f>
        <v>0</v>
      </c>
      <c r="H19" s="216">
        <f>IF(H17=0,0,(H13-$E13)/(H17-$E17))</f>
        <v>0</v>
      </c>
      <c r="I19" s="216">
        <f>IF(I17=0,0,(I13-$E13)/(I17-$E17))</f>
        <v>0</v>
      </c>
    </row>
    <row r="20" spans="1:15" s="66" customFormat="1" ht="18.75" customHeight="1" thickBot="1">
      <c r="A20" s="215"/>
      <c r="B20" s="215"/>
      <c r="C20" s="215"/>
      <c r="D20" s="215"/>
      <c r="E20" s="215"/>
      <c r="F20" s="215"/>
      <c r="G20" s="215"/>
      <c r="H20" s="215"/>
      <c r="I20" s="215"/>
    </row>
    <row r="21" spans="1:15" s="66" customFormat="1" ht="18.75" customHeight="1" thickBot="1">
      <c r="A21" s="217" t="s">
        <v>694</v>
      </c>
      <c r="B21" s="215"/>
      <c r="C21" s="215"/>
      <c r="D21" s="215"/>
      <c r="E21" s="823"/>
      <c r="F21" s="823"/>
      <c r="G21" s="215"/>
      <c r="H21" s="215"/>
      <c r="I21" s="215"/>
      <c r="K21" s="824" t="s">
        <v>695</v>
      </c>
      <c r="L21" s="824"/>
      <c r="M21" s="824"/>
      <c r="N21" s="824"/>
      <c r="O21" s="824"/>
    </row>
    <row r="22" spans="1:15" s="66" customFormat="1" ht="18.75" customHeight="1" thickBot="1">
      <c r="A22" s="215"/>
      <c r="B22" s="215"/>
      <c r="C22" s="215"/>
      <c r="D22" s="215"/>
      <c r="E22" s="215"/>
      <c r="F22" s="215"/>
      <c r="G22" s="215"/>
      <c r="H22" s="215"/>
      <c r="I22" s="215"/>
      <c r="K22" s="65"/>
      <c r="L22" s="65"/>
      <c r="M22" s="65"/>
      <c r="N22" s="65"/>
      <c r="O22" s="65"/>
    </row>
    <row r="23" spans="1:15" s="66" customFormat="1" ht="18.75" customHeight="1" thickBot="1">
      <c r="A23" s="65"/>
      <c r="B23" s="65"/>
      <c r="C23" s="65"/>
      <c r="D23" s="65"/>
      <c r="E23" s="65"/>
      <c r="F23" s="65"/>
      <c r="G23" s="65"/>
      <c r="H23" s="65"/>
      <c r="I23" s="65"/>
      <c r="K23" s="65"/>
      <c r="L23" s="65"/>
      <c r="M23" s="65"/>
      <c r="N23" s="65"/>
      <c r="O23" s="65"/>
    </row>
    <row r="24" spans="1:15" s="66" customFormat="1" ht="18.75" customHeight="1" thickBot="1">
      <c r="A24" s="825" t="s">
        <v>696</v>
      </c>
      <c r="B24" s="825"/>
      <c r="C24" s="825"/>
      <c r="D24" s="825" t="s">
        <v>697</v>
      </c>
      <c r="E24" s="825"/>
      <c r="F24" s="825"/>
      <c r="G24" s="825" t="s">
        <v>698</v>
      </c>
      <c r="H24" s="825"/>
      <c r="I24" s="825"/>
      <c r="K24" s="632" t="s">
        <v>699</v>
      </c>
      <c r="L24" s="632"/>
      <c r="M24" s="632"/>
      <c r="N24" s="632"/>
      <c r="O24" s="632"/>
    </row>
    <row r="25" spans="1:15" s="66" customFormat="1" ht="60" customHeight="1" thickBot="1">
      <c r="A25" s="218" t="s">
        <v>547</v>
      </c>
      <c r="B25" s="218" t="s">
        <v>700</v>
      </c>
      <c r="C25" s="218" t="s">
        <v>701</v>
      </c>
      <c r="D25" s="218" t="s">
        <v>547</v>
      </c>
      <c r="E25" s="218" t="s">
        <v>702</v>
      </c>
      <c r="F25" s="218" t="s">
        <v>703</v>
      </c>
      <c r="G25" s="218" t="s">
        <v>704</v>
      </c>
      <c r="H25" s="218" t="s">
        <v>705</v>
      </c>
      <c r="I25" s="219" t="s">
        <v>706</v>
      </c>
      <c r="K25" s="675"/>
      <c r="L25" s="675"/>
      <c r="M25" s="675"/>
      <c r="N25" s="675"/>
      <c r="O25" s="675"/>
    </row>
    <row r="26" spans="1:15" s="66" customFormat="1" ht="18.75" customHeight="1" thickBot="1">
      <c r="A26" s="220"/>
      <c r="B26" s="211"/>
      <c r="C26" s="211"/>
      <c r="D26" s="220"/>
      <c r="E26" s="211"/>
      <c r="F26" s="211"/>
      <c r="G26" s="89">
        <f t="shared" ref="G26:H29" si="0">E26-B26</f>
        <v>0</v>
      </c>
      <c r="H26" s="89">
        <f t="shared" si="0"/>
        <v>0</v>
      </c>
      <c r="I26" s="88">
        <f>IF(G26=0,0,H26/G26)</f>
        <v>0</v>
      </c>
      <c r="K26" s="675"/>
      <c r="L26" s="675"/>
      <c r="M26" s="675"/>
      <c r="N26" s="675"/>
      <c r="O26" s="675"/>
    </row>
    <row r="27" spans="1:15" s="66" customFormat="1" ht="18.75" customHeight="1" thickBot="1">
      <c r="A27" s="220"/>
      <c r="B27" s="211"/>
      <c r="C27" s="211"/>
      <c r="D27" s="220"/>
      <c r="E27" s="211"/>
      <c r="F27" s="211"/>
      <c r="G27" s="89">
        <f t="shared" si="0"/>
        <v>0</v>
      </c>
      <c r="H27" s="89">
        <f t="shared" si="0"/>
        <v>0</v>
      </c>
      <c r="I27" s="88">
        <f>IF(G27=0,0,H27/G27)</f>
        <v>0</v>
      </c>
      <c r="K27" s="675"/>
      <c r="L27" s="675"/>
      <c r="M27" s="675"/>
      <c r="N27" s="675"/>
      <c r="O27" s="675"/>
    </row>
    <row r="28" spans="1:15" s="66" customFormat="1" ht="18.75" customHeight="1" thickBot="1">
      <c r="A28" s="220"/>
      <c r="B28" s="211"/>
      <c r="C28" s="211"/>
      <c r="D28" s="220"/>
      <c r="E28" s="211"/>
      <c r="F28" s="211"/>
      <c r="G28" s="89">
        <f t="shared" si="0"/>
        <v>0</v>
      </c>
      <c r="H28" s="89">
        <f t="shared" si="0"/>
        <v>0</v>
      </c>
      <c r="I28" s="88">
        <f>IF(G28=0,0,H28/G28)</f>
        <v>0</v>
      </c>
      <c r="K28" s="675"/>
      <c r="L28" s="675"/>
      <c r="M28" s="675"/>
      <c r="N28" s="675"/>
      <c r="O28" s="675"/>
    </row>
    <row r="29" spans="1:15" s="66" customFormat="1" ht="18.75" customHeight="1" thickBot="1">
      <c r="A29" s="220"/>
      <c r="B29" s="211"/>
      <c r="C29" s="211"/>
      <c r="D29" s="220"/>
      <c r="E29" s="211"/>
      <c r="F29" s="211"/>
      <c r="G29" s="89">
        <f t="shared" si="0"/>
        <v>0</v>
      </c>
      <c r="H29" s="89">
        <f t="shared" si="0"/>
        <v>0</v>
      </c>
      <c r="I29" s="88">
        <f>IF(G29=0,0,H29/G29)</f>
        <v>0</v>
      </c>
      <c r="K29" s="675"/>
      <c r="L29" s="675"/>
      <c r="M29" s="675"/>
      <c r="N29" s="675"/>
      <c r="O29" s="675"/>
    </row>
    <row r="30" spans="1:15" s="66" customFormat="1" ht="18.75" customHeight="1" thickBot="1">
      <c r="A30" s="221"/>
      <c r="B30" s="221"/>
      <c r="C30" s="221"/>
      <c r="D30" s="221"/>
      <c r="E30" s="221"/>
      <c r="F30" s="221"/>
      <c r="G30" s="221"/>
      <c r="H30" s="221"/>
      <c r="I30" s="204"/>
      <c r="K30" s="675"/>
      <c r="L30" s="675"/>
      <c r="M30" s="675"/>
      <c r="N30" s="675"/>
      <c r="O30" s="675"/>
    </row>
    <row r="31" spans="1:15" s="66" customFormat="1" ht="13.5" customHeight="1">
      <c r="A31" s="65"/>
      <c r="B31" s="65"/>
      <c r="C31" s="65"/>
      <c r="D31" s="65"/>
    </row>
    <row r="32" spans="1:15" s="66" customFormat="1" ht="13.5" customHeight="1">
      <c r="A32" s="65"/>
      <c r="B32" s="65"/>
      <c r="C32" s="65"/>
      <c r="D32" s="65"/>
    </row>
    <row r="33" spans="1:4" s="66" customFormat="1" ht="13.5" customHeight="1">
      <c r="A33" s="65"/>
      <c r="B33" s="65"/>
      <c r="C33" s="65"/>
      <c r="D33" s="65"/>
    </row>
    <row r="34" spans="1:4" s="66" customFormat="1" ht="13.5" customHeight="1">
      <c r="A34" s="65"/>
      <c r="B34" s="65"/>
      <c r="C34" s="65"/>
      <c r="D34" s="65"/>
    </row>
    <row r="35" spans="1:4" s="66" customFormat="1" ht="13.5" customHeight="1">
      <c r="A35" s="65"/>
      <c r="B35" s="65"/>
      <c r="C35" s="65"/>
      <c r="D35" s="65"/>
    </row>
    <row r="36" spans="1:4" s="66" customFormat="1" ht="13.5" customHeight="1">
      <c r="A36" s="65"/>
      <c r="B36" s="65"/>
      <c r="C36" s="65"/>
      <c r="D36" s="65"/>
    </row>
    <row r="37" spans="1:4" s="66" customFormat="1" ht="13.5" customHeight="1">
      <c r="A37" s="65"/>
      <c r="B37" s="65"/>
      <c r="C37" s="65"/>
      <c r="D37" s="65"/>
    </row>
    <row r="38" spans="1:4" s="66" customFormat="1" ht="13.5" customHeight="1">
      <c r="A38" s="65"/>
      <c r="B38" s="65"/>
      <c r="C38" s="65"/>
      <c r="D38" s="65"/>
    </row>
    <row r="39" spans="1:4" s="66" customFormat="1" ht="13.5" customHeight="1">
      <c r="A39" s="65"/>
      <c r="B39" s="65"/>
      <c r="C39" s="65"/>
      <c r="D39" s="65"/>
    </row>
    <row r="40" spans="1:4" s="66" customFormat="1" ht="13.5" customHeight="1">
      <c r="A40" s="65"/>
      <c r="B40" s="65"/>
      <c r="C40" s="65"/>
      <c r="D40" s="65"/>
    </row>
    <row r="41" spans="1:4" s="66" customFormat="1" ht="13.5" customHeight="1">
      <c r="A41" s="65"/>
      <c r="B41" s="65"/>
      <c r="C41" s="65"/>
      <c r="D41" s="65"/>
    </row>
    <row r="42" spans="1:4">
      <c r="A42" s="65"/>
      <c r="B42" s="65"/>
      <c r="C42" s="65"/>
      <c r="D42" s="65"/>
    </row>
    <row r="43" spans="1:4">
      <c r="A43" s="65"/>
      <c r="B43" s="65"/>
      <c r="C43" s="65"/>
      <c r="D43" s="65"/>
    </row>
    <row r="44" spans="1:4">
      <c r="A44" s="65"/>
      <c r="B44" s="65"/>
      <c r="C44" s="65"/>
      <c r="D44" s="65"/>
    </row>
    <row r="45" spans="1:4">
      <c r="A45" s="65"/>
      <c r="B45" s="65"/>
      <c r="C45" s="65"/>
      <c r="D45" s="65"/>
    </row>
    <row r="46" spans="1:4">
      <c r="A46" s="65"/>
      <c r="B46" s="65"/>
      <c r="C46" s="65"/>
      <c r="D46" s="65"/>
    </row>
    <row r="47" spans="1:4">
      <c r="A47" s="65"/>
      <c r="B47" s="65"/>
      <c r="C47" s="65"/>
      <c r="D47" s="65"/>
    </row>
    <row r="48" spans="1:4">
      <c r="A48" s="65"/>
      <c r="B48" s="65"/>
      <c r="C48" s="65"/>
      <c r="D48" s="65"/>
    </row>
    <row r="49" spans="1:4">
      <c r="A49" s="65"/>
      <c r="B49" s="65"/>
      <c r="C49" s="65"/>
      <c r="D49" s="65"/>
    </row>
    <row r="50" spans="1:4">
      <c r="A50" s="65"/>
      <c r="B50" s="65"/>
      <c r="C50" s="65"/>
      <c r="D50" s="65"/>
    </row>
    <row r="51" spans="1:4">
      <c r="A51" s="65"/>
      <c r="B51" s="65"/>
      <c r="C51" s="65"/>
      <c r="D51" s="65"/>
    </row>
    <row r="52" spans="1:4">
      <c r="A52" s="65"/>
      <c r="B52" s="65"/>
      <c r="C52" s="65"/>
      <c r="D52" s="65"/>
    </row>
    <row r="53" spans="1:4">
      <c r="A53" s="65"/>
      <c r="B53" s="65"/>
      <c r="C53" s="65"/>
      <c r="D53" s="65"/>
    </row>
    <row r="54" spans="1:4">
      <c r="A54" s="65"/>
      <c r="B54" s="65"/>
      <c r="C54" s="65"/>
      <c r="D54" s="65"/>
    </row>
    <row r="55" spans="1:4">
      <c r="A55" s="65"/>
      <c r="B55" s="65"/>
      <c r="C55" s="65"/>
      <c r="D55" s="65"/>
    </row>
    <row r="56" spans="1:4">
      <c r="A56" s="65"/>
      <c r="B56" s="65"/>
      <c r="C56" s="65"/>
      <c r="D56" s="65"/>
    </row>
    <row r="57" spans="1:4">
      <c r="A57" s="65"/>
      <c r="B57" s="65"/>
      <c r="C57" s="65"/>
      <c r="D57" s="65"/>
    </row>
    <row r="58" spans="1:4">
      <c r="A58" s="65"/>
      <c r="B58" s="65"/>
      <c r="C58" s="65"/>
      <c r="D58" s="65"/>
    </row>
    <row r="59" spans="1:4">
      <c r="A59" s="65"/>
      <c r="B59" s="65"/>
      <c r="C59" s="65"/>
      <c r="D59" s="65"/>
    </row>
    <row r="60" spans="1:4">
      <c r="A60" s="65"/>
      <c r="B60" s="65"/>
      <c r="C60" s="65"/>
      <c r="D60" s="65"/>
    </row>
    <row r="61" spans="1:4">
      <c r="A61" s="65"/>
      <c r="B61" s="65"/>
      <c r="C61" s="65"/>
      <c r="D61" s="65"/>
    </row>
    <row r="62" spans="1:4">
      <c r="A62" s="65"/>
      <c r="B62" s="65"/>
      <c r="C62" s="65"/>
      <c r="D62" s="65"/>
    </row>
    <row r="63" spans="1:4">
      <c r="A63" s="65"/>
      <c r="B63" s="65"/>
      <c r="C63" s="65"/>
      <c r="D63" s="65"/>
    </row>
    <row r="64" spans="1:4">
      <c r="A64" s="65"/>
      <c r="B64" s="65"/>
      <c r="C64" s="65"/>
      <c r="D64" s="65"/>
    </row>
    <row r="65" spans="1:4">
      <c r="A65" s="65"/>
      <c r="B65" s="65"/>
      <c r="C65" s="65"/>
      <c r="D65" s="65"/>
    </row>
    <row r="66" spans="1:4">
      <c r="A66" s="65"/>
      <c r="B66" s="65"/>
      <c r="C66" s="65"/>
      <c r="D66" s="65"/>
    </row>
    <row r="67" spans="1:4">
      <c r="A67" s="65"/>
      <c r="B67" s="65"/>
      <c r="C67" s="65"/>
      <c r="D67" s="65"/>
    </row>
    <row r="68" spans="1:4">
      <c r="A68" s="65"/>
      <c r="B68" s="65"/>
      <c r="C68" s="65"/>
      <c r="D68" s="65"/>
    </row>
    <row r="69" spans="1:4">
      <c r="A69" s="65"/>
      <c r="B69" s="65"/>
      <c r="C69" s="65"/>
      <c r="D69" s="65"/>
    </row>
    <row r="70" spans="1:4">
      <c r="A70" s="65"/>
      <c r="B70" s="65"/>
      <c r="C70" s="65"/>
      <c r="D70" s="65"/>
    </row>
    <row r="71" spans="1:4">
      <c r="A71" s="65"/>
      <c r="B71" s="65"/>
      <c r="C71" s="65"/>
      <c r="D71" s="65"/>
    </row>
    <row r="72" spans="1:4">
      <c r="A72" s="65"/>
      <c r="B72" s="65"/>
      <c r="C72" s="65"/>
      <c r="D72" s="65"/>
    </row>
    <row r="73" spans="1:4">
      <c r="A73" s="65"/>
      <c r="B73" s="65"/>
      <c r="C73" s="65"/>
      <c r="D73" s="65"/>
    </row>
    <row r="74" spans="1:4">
      <c r="A74" s="65"/>
      <c r="B74" s="65"/>
      <c r="C74" s="65"/>
      <c r="D74" s="65"/>
    </row>
    <row r="75" spans="1:4">
      <c r="A75" s="65"/>
      <c r="B75" s="65"/>
      <c r="C75" s="65"/>
      <c r="D75" s="65"/>
    </row>
    <row r="76" spans="1:4">
      <c r="A76" s="65"/>
      <c r="B76" s="65"/>
      <c r="C76" s="65"/>
      <c r="D76" s="65"/>
    </row>
    <row r="77" spans="1:4">
      <c r="A77" s="65"/>
      <c r="B77" s="65"/>
      <c r="C77" s="65"/>
      <c r="D77" s="65"/>
    </row>
    <row r="78" spans="1:4">
      <c r="A78" s="65"/>
      <c r="B78" s="65"/>
      <c r="C78" s="65"/>
      <c r="D78" s="65"/>
    </row>
    <row r="79" spans="1:4">
      <c r="A79" s="65"/>
      <c r="B79" s="65"/>
      <c r="C79" s="65"/>
      <c r="D79" s="65"/>
    </row>
    <row r="80" spans="1:4">
      <c r="A80" s="65"/>
      <c r="B80" s="65"/>
      <c r="C80" s="65"/>
      <c r="D80" s="65"/>
    </row>
  </sheetData>
  <sheetProtection algorithmName="SHA-512" hashValue="9SETNM08OoFHFSvFsMzbUXGNWgk8SDxTwxCi6P8nth+/Qps6LkTl6Jkg/u/XvbZQNCBLS7Vr+PdCrEn0ydp9sA==" saltValue="fwFr/SB8aj8LVhHLnUtDUA==" spinCount="100000" sheet="1" selectLockedCells="1"/>
  <protectedRanges>
    <protectedRange sqref="F5:F6" name="Range1_1"/>
    <protectedRange sqref="C5:D5 G5:I5" name="Range1_1_1_2"/>
    <protectedRange sqref="E26:I29" name="Range5_1_1_1"/>
    <protectedRange sqref="G30:I30" name="Range10_1_1_1"/>
    <protectedRange sqref="E5:E6" name="Range1_1_1_1_1"/>
  </protectedRanges>
  <mergeCells count="13">
    <mergeCell ref="A17:D17"/>
    <mergeCell ref="A8:D8"/>
    <mergeCell ref="A9:I9"/>
    <mergeCell ref="K10:O12"/>
    <mergeCell ref="A13:D13"/>
    <mergeCell ref="A14:I14"/>
    <mergeCell ref="A19:D19"/>
    <mergeCell ref="E21:F21"/>
    <mergeCell ref="K21:O21"/>
    <mergeCell ref="A24:C24"/>
    <mergeCell ref="D24:F24"/>
    <mergeCell ref="G24:I24"/>
    <mergeCell ref="K24:O30"/>
  </mergeCells>
  <hyperlinks>
    <hyperlink ref="K21" r:id="rId1" display="https://www.nzta.govt.nz/assets/resources/economic-evaluation-manual/economic-evaluation-manual/docs/eem-manual-2016.pdf" xr:uid="{B17FCC6B-EA91-4A9B-9C69-B1D3A50FF3BC}"/>
    <hyperlink ref="K21:O21" r:id="rId2" display="MBCM Manual - Section A12.4" xr:uid="{960C1F76-6935-4860-A748-6D35369EA9F4}"/>
  </hyperlinks>
  <printOptions horizontalCentered="1"/>
  <pageMargins left="0.74803149606299213" right="0.74803149606299213" top="0.98425196850393704" bottom="0.98425196850393704" header="0.51181102362204722" footer="0.51181102362204722"/>
  <pageSetup paperSize="9" scale="57" orientation="portrait" r:id="rId3"/>
  <headerFooter scaleWithDoc="0" alignWithMargins="0">
    <oddHeader>&amp;L&amp;"-,Regular"&amp;8&amp;F&amp;R&amp;"-,Regular"&amp;8&amp;A
________________________________________________________________________________</oddHeader>
    <oddFooter>&amp;L&amp;"-,Regular"&amp;8____________________________________________________________________________
NZ Transport Agency’s Economic evaluation manual 
Effective from Jul 2013</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F00F2-1CAE-4467-BB69-B46132E5FD25}">
  <dimension ref="A1:AE341"/>
  <sheetViews>
    <sheetView topLeftCell="A21" workbookViewId="0">
      <selection activeCell="P39" sqref="P39"/>
    </sheetView>
  </sheetViews>
  <sheetFormatPr defaultColWidth="9" defaultRowHeight="13.2"/>
  <cols>
    <col min="1" max="2" width="9" style="28"/>
    <col min="3" max="8" width="11.296875" style="28" customWidth="1"/>
    <col min="9" max="9" width="9" style="28"/>
    <col min="10" max="10" width="17" style="28" customWidth="1"/>
    <col min="11" max="11" width="18" style="28" bestFit="1" customWidth="1"/>
    <col min="12" max="13" width="9" style="28"/>
    <col min="14" max="14" width="19.5" style="28" customWidth="1"/>
    <col min="15" max="15" width="9" style="28"/>
    <col min="16" max="16" width="9.69921875" style="28" bestFit="1" customWidth="1"/>
    <col min="17" max="17" width="11" style="28" customWidth="1"/>
    <col min="18" max="18" width="9" style="28"/>
    <col min="19" max="24" width="9.19921875" style="28" customWidth="1"/>
    <col min="25" max="16384" width="9" style="28"/>
  </cols>
  <sheetData>
    <row r="1" spans="1:19" ht="39.6">
      <c r="A1" s="28" t="s">
        <v>6</v>
      </c>
      <c r="B1" s="28" t="s">
        <v>923</v>
      </c>
      <c r="C1" s="28" t="s">
        <v>924</v>
      </c>
      <c r="F1" s="451" t="s">
        <v>996</v>
      </c>
      <c r="G1" s="452">
        <v>256</v>
      </c>
    </row>
    <row r="5" spans="1:19" ht="13.8" thickBot="1">
      <c r="A5" s="28" t="s">
        <v>707</v>
      </c>
    </row>
    <row r="6" spans="1:19" ht="13.5" customHeight="1" thickBot="1">
      <c r="A6" s="236" t="s">
        <v>658</v>
      </c>
      <c r="B6" s="830" t="s">
        <v>659</v>
      </c>
      <c r="C6" s="831"/>
      <c r="D6" s="831"/>
      <c r="E6" s="831"/>
      <c r="F6" s="831"/>
      <c r="G6" s="831"/>
      <c r="H6" s="831"/>
      <c r="I6" s="831"/>
      <c r="J6" s="831"/>
      <c r="K6" s="831"/>
      <c r="L6" s="832"/>
    </row>
    <row r="7" spans="1:19" ht="35.4" thickBot="1">
      <c r="A7" s="234"/>
      <c r="B7" s="266">
        <v>0</v>
      </c>
      <c r="C7" s="265">
        <v>0.01</v>
      </c>
      <c r="D7" s="265">
        <v>0.02</v>
      </c>
      <c r="E7" s="265">
        <v>0.03</v>
      </c>
      <c r="F7" s="265">
        <v>0.04</v>
      </c>
      <c r="G7" s="265">
        <v>0.05</v>
      </c>
      <c r="H7" s="265">
        <v>0.06</v>
      </c>
      <c r="I7" s="265">
        <v>7.0000000000000007E-2</v>
      </c>
      <c r="J7" s="264">
        <v>0.08</v>
      </c>
      <c r="K7" s="264">
        <v>0.09</v>
      </c>
      <c r="L7" s="264">
        <v>0.1</v>
      </c>
      <c r="O7" s="234" t="s">
        <v>708</v>
      </c>
      <c r="R7" s="234" t="s">
        <v>709</v>
      </c>
    </row>
    <row r="8" spans="1:19" ht="24" thickBot="1">
      <c r="A8" s="234" t="s">
        <v>708</v>
      </c>
      <c r="B8" s="263">
        <v>0.83</v>
      </c>
      <c r="C8" s="231">
        <v>0.86</v>
      </c>
      <c r="D8" s="231">
        <v>0.9</v>
      </c>
      <c r="E8" s="231">
        <v>0.93</v>
      </c>
      <c r="F8" s="231">
        <v>0.96</v>
      </c>
      <c r="G8" s="231">
        <v>0.99</v>
      </c>
      <c r="H8" s="231">
        <v>1.03</v>
      </c>
      <c r="I8" s="231">
        <v>1.06</v>
      </c>
      <c r="J8" s="261">
        <v>1.0900000000000001</v>
      </c>
      <c r="K8" s="261">
        <v>1.1200000000000001</v>
      </c>
      <c r="L8" s="261">
        <v>1.1499999999999999</v>
      </c>
      <c r="O8" s="28" t="s">
        <v>710</v>
      </c>
      <c r="P8" s="28">
        <v>-1025641.02553216</v>
      </c>
      <c r="R8" s="28" t="s">
        <v>710</v>
      </c>
      <c r="S8" s="28">
        <v>288461.53930839401</v>
      </c>
    </row>
    <row r="9" spans="1:19" ht="35.4" thickBot="1">
      <c r="A9" s="234" t="s">
        <v>709</v>
      </c>
      <c r="B9" s="263">
        <v>0.95</v>
      </c>
      <c r="C9" s="231">
        <v>0.98</v>
      </c>
      <c r="D9" s="231">
        <v>1.02</v>
      </c>
      <c r="E9" s="231">
        <v>1.06</v>
      </c>
      <c r="F9" s="231">
        <v>1.1000000000000001</v>
      </c>
      <c r="G9" s="231">
        <v>1.1399999999999999</v>
      </c>
      <c r="H9" s="231">
        <v>1.17</v>
      </c>
      <c r="I9" s="231">
        <v>1.21</v>
      </c>
      <c r="J9" s="261">
        <v>1.24</v>
      </c>
      <c r="K9" s="262">
        <v>1.28</v>
      </c>
      <c r="L9" s="261">
        <v>1.31</v>
      </c>
      <c r="O9" s="28" t="s">
        <v>711</v>
      </c>
      <c r="P9" s="28">
        <v>179487.17946709899</v>
      </c>
      <c r="R9" s="28" t="s">
        <v>711</v>
      </c>
      <c r="S9" s="28">
        <v>-38170.1633182277</v>
      </c>
    </row>
    <row r="10" spans="1:19">
      <c r="A10" s="240"/>
      <c r="O10" s="28" t="s">
        <v>712</v>
      </c>
      <c r="P10" s="28">
        <v>-10839.1608369892</v>
      </c>
      <c r="R10" s="28" t="s">
        <v>712</v>
      </c>
      <c r="S10" s="28">
        <v>1126.1655100161399</v>
      </c>
    </row>
    <row r="11" spans="1:19">
      <c r="A11" s="260" t="s">
        <v>713</v>
      </c>
      <c r="B11" s="28" t="s">
        <v>714</v>
      </c>
      <c r="O11" s="28" t="s">
        <v>715</v>
      </c>
      <c r="P11" s="28">
        <v>258.62470849083599</v>
      </c>
      <c r="R11" s="28" t="s">
        <v>715</v>
      </c>
      <c r="S11" s="28">
        <v>22.290209587198198</v>
      </c>
    </row>
    <row r="12" spans="1:19">
      <c r="A12" s="28" t="str">
        <f>LOOKUP('SP11-6'!E10,{0,70},{"1","2"})</f>
        <v>1</v>
      </c>
      <c r="B12" s="259" t="str">
        <f>LOOKUP('SP11-6'!N10,{0,0.01,0.02,0.03,0.04,0.05,0.06,0.07,0.08,0.09,0.1},{"1","2","3","4","5","6","7","8","9","10","11"})</f>
        <v>1</v>
      </c>
      <c r="C12" s="258">
        <f ca="1">OFFSET(A7,A12,B12)</f>
        <v>0.83</v>
      </c>
      <c r="D12" s="240"/>
      <c r="O12" s="28" t="s">
        <v>716</v>
      </c>
      <c r="P12" s="28">
        <v>1.35641025976899</v>
      </c>
      <c r="R12" s="28" t="s">
        <v>716</v>
      </c>
      <c r="S12" s="28">
        <v>2.8017482530156799</v>
      </c>
    </row>
    <row r="13" spans="1:19">
      <c r="A13" s="257"/>
      <c r="O13" s="28" t="s">
        <v>717</v>
      </c>
      <c r="P13" s="28">
        <v>0.82996503496227902</v>
      </c>
      <c r="R13" s="28" t="s">
        <v>717</v>
      </c>
      <c r="S13" s="28">
        <v>0.94982517482707096</v>
      </c>
    </row>
    <row r="14" spans="1:19">
      <c r="A14" s="257"/>
      <c r="C14" s="256"/>
      <c r="D14" s="256"/>
      <c r="E14" s="256"/>
      <c r="F14" s="256"/>
      <c r="G14" s="256"/>
      <c r="H14" s="256"/>
      <c r="I14" s="256"/>
      <c r="K14" s="255"/>
    </row>
    <row r="15" spans="1:19" ht="19.8">
      <c r="A15" s="238" t="s">
        <v>718</v>
      </c>
      <c r="B15" s="238" t="s">
        <v>719</v>
      </c>
    </row>
    <row r="16" spans="1:19">
      <c r="A16" s="237" t="s">
        <v>720</v>
      </c>
      <c r="B16" s="237" t="s">
        <v>721</v>
      </c>
    </row>
    <row r="17" spans="1:18" ht="13.8" thickBot="1">
      <c r="A17" s="237" t="s">
        <v>722</v>
      </c>
      <c r="N17" s="28" t="s">
        <v>961</v>
      </c>
      <c r="O17" s="28" t="s">
        <v>954</v>
      </c>
    </row>
    <row r="18" spans="1:18">
      <c r="A18" s="837" t="s">
        <v>605</v>
      </c>
      <c r="B18" s="837" t="s">
        <v>723</v>
      </c>
      <c r="C18" s="235" t="s">
        <v>724</v>
      </c>
      <c r="D18" s="235" t="s">
        <v>725</v>
      </c>
      <c r="J18" s="51" t="s">
        <v>925</v>
      </c>
      <c r="K18" s="51"/>
      <c r="M18" s="28" t="s">
        <v>930</v>
      </c>
    </row>
    <row r="19" spans="1:18" ht="24.6" thickBot="1">
      <c r="A19" s="838"/>
      <c r="B19" s="838"/>
      <c r="C19" s="233" t="s">
        <v>726</v>
      </c>
      <c r="D19" s="233" t="s">
        <v>726</v>
      </c>
      <c r="I19" s="840">
        <f>Q19*K19+Q20*K20</f>
        <v>4.492</v>
      </c>
      <c r="J19" s="453" t="s">
        <v>926</v>
      </c>
      <c r="K19" s="454">
        <v>4.9000000000000004</v>
      </c>
      <c r="L19" s="28" t="s">
        <v>929</v>
      </c>
      <c r="M19" s="455">
        <f>K19*3</f>
        <v>14.700000000000001</v>
      </c>
      <c r="N19" s="461">
        <v>6200</v>
      </c>
      <c r="O19" s="841">
        <f>N19*Q19+N20*Q20</f>
        <v>5928</v>
      </c>
      <c r="Q19" s="230">
        <v>0.83</v>
      </c>
      <c r="R19" s="471" t="s">
        <v>955</v>
      </c>
    </row>
    <row r="20" spans="1:18" ht="16.2" thickBot="1">
      <c r="A20" s="232" t="s">
        <v>727</v>
      </c>
      <c r="B20" s="231" t="s">
        <v>728</v>
      </c>
      <c r="C20" s="231">
        <v>0.13</v>
      </c>
      <c r="D20" s="231">
        <v>0.87</v>
      </c>
      <c r="I20" s="840"/>
      <c r="J20" s="453" t="s">
        <v>927</v>
      </c>
      <c r="K20" s="454">
        <v>2.5</v>
      </c>
      <c r="L20" s="28" t="s">
        <v>929</v>
      </c>
      <c r="N20" s="461">
        <v>4600</v>
      </c>
      <c r="O20" s="842"/>
      <c r="Q20" s="230">
        <v>0.17</v>
      </c>
      <c r="R20" s="471" t="s">
        <v>956</v>
      </c>
    </row>
    <row r="21" spans="1:18" ht="13.8" thickBot="1">
      <c r="A21" s="232" t="s">
        <v>729</v>
      </c>
      <c r="B21" s="231" t="s">
        <v>654</v>
      </c>
      <c r="C21" s="231">
        <v>0.06</v>
      </c>
      <c r="D21" s="231">
        <v>0.94</v>
      </c>
      <c r="J21" s="453" t="s">
        <v>928</v>
      </c>
      <c r="K21" s="454">
        <v>9.9</v>
      </c>
      <c r="L21" s="28" t="s">
        <v>929</v>
      </c>
      <c r="M21" s="455">
        <f>K21</f>
        <v>9.9</v>
      </c>
      <c r="N21" s="465">
        <v>3100</v>
      </c>
    </row>
    <row r="22" spans="1:18" ht="34.799999999999997" thickBot="1">
      <c r="A22" s="232" t="s">
        <v>730</v>
      </c>
      <c r="B22" s="231" t="s">
        <v>731</v>
      </c>
      <c r="C22" s="231">
        <v>0.13</v>
      </c>
      <c r="D22" s="231">
        <v>0.87</v>
      </c>
      <c r="J22" s="485" t="s">
        <v>1001</v>
      </c>
    </row>
    <row r="23" spans="1:18" ht="87" thickBot="1">
      <c r="A23" s="232" t="s">
        <v>732</v>
      </c>
      <c r="B23" s="231" t="s">
        <v>733</v>
      </c>
      <c r="C23" s="231">
        <v>0.05</v>
      </c>
      <c r="D23" s="231">
        <v>0.95</v>
      </c>
      <c r="I23" s="485" t="s">
        <v>928</v>
      </c>
      <c r="J23" s="459" t="s">
        <v>943</v>
      </c>
      <c r="K23" s="459" t="s">
        <v>999</v>
      </c>
      <c r="L23" s="459" t="s">
        <v>945</v>
      </c>
      <c r="M23" s="459" t="s">
        <v>995</v>
      </c>
      <c r="N23" s="459" t="s">
        <v>947</v>
      </c>
      <c r="O23" s="459" t="s">
        <v>959</v>
      </c>
      <c r="P23" s="459" t="s">
        <v>948</v>
      </c>
    </row>
    <row r="24" spans="1:18" ht="23.4" thickBot="1">
      <c r="A24" s="232" t="s">
        <v>734</v>
      </c>
      <c r="B24" s="231" t="s">
        <v>735</v>
      </c>
      <c r="C24" s="231">
        <v>0.13</v>
      </c>
      <c r="D24" s="231">
        <v>0.87</v>
      </c>
      <c r="J24">
        <v>1</v>
      </c>
      <c r="K24" s="470">
        <v>0.18525073911712145</v>
      </c>
      <c r="L24" s="460">
        <f>K24*'SP11-5'!$E$33*7</f>
        <v>0</v>
      </c>
      <c r="M24" s="462">
        <f>J24*52*$K$21*'SP11-1'!$I$44</f>
        <v>0</v>
      </c>
      <c r="N24" t="str">
        <f t="shared" ref="N24:N30" si="0">IF(M24&lt;=$N$21,"NO CAP", "CAPPED")</f>
        <v>NO CAP</v>
      </c>
      <c r="O24" s="463">
        <f>IF(N24="NO CAP",M24, $N$21)</f>
        <v>0</v>
      </c>
      <c r="P24" s="465">
        <f>O24*'SP11-5'!$E$12*K24</f>
        <v>0</v>
      </c>
      <c r="Q24" s="455"/>
    </row>
    <row r="25" spans="1:18" ht="23.4" thickBot="1">
      <c r="A25" s="232" t="s">
        <v>736</v>
      </c>
      <c r="B25" s="231" t="s">
        <v>737</v>
      </c>
      <c r="C25" s="231">
        <v>0.04</v>
      </c>
      <c r="D25" s="231">
        <v>0.96</v>
      </c>
      <c r="J25">
        <v>2</v>
      </c>
      <c r="K25" s="470">
        <v>0.19158763074141602</v>
      </c>
      <c r="L25" s="460">
        <f>K25*'SP11-5'!$E$12*7</f>
        <v>0</v>
      </c>
      <c r="M25" s="462">
        <f>J25*52*$K$21*'SP11-1'!$I$44</f>
        <v>0</v>
      </c>
      <c r="N25" t="str">
        <f t="shared" si="0"/>
        <v>NO CAP</v>
      </c>
      <c r="O25" s="463">
        <f t="shared" ref="O25:O30" si="1">IF(N25="NO CAP",M25, $N$21)</f>
        <v>0</v>
      </c>
      <c r="P25" s="465">
        <f>O25*'SP11-5'!$E$12*K25</f>
        <v>0</v>
      </c>
    </row>
    <row r="26" spans="1:18" ht="16.2" thickBot="1">
      <c r="A26" s="232" t="s">
        <v>738</v>
      </c>
      <c r="B26" s="231" t="s">
        <v>739</v>
      </c>
      <c r="C26" s="231">
        <v>0.08</v>
      </c>
      <c r="D26" s="231">
        <v>0.92</v>
      </c>
      <c r="J26">
        <v>3</v>
      </c>
      <c r="K26" s="470">
        <v>0.17028772534466954</v>
      </c>
      <c r="L26" s="460">
        <f>K26*'SP11-5'!$E$12*7</f>
        <v>0</v>
      </c>
      <c r="M26" s="462">
        <f>J26*52*$K$21*'SP11-1'!$I$44</f>
        <v>0</v>
      </c>
      <c r="N26" t="str">
        <f t="shared" si="0"/>
        <v>NO CAP</v>
      </c>
      <c r="O26" s="463">
        <f t="shared" si="1"/>
        <v>0</v>
      </c>
      <c r="P26" s="465">
        <f>O26*'SP11-5'!$E$12*K26</f>
        <v>0</v>
      </c>
    </row>
    <row r="27" spans="1:18" ht="23.4" thickBot="1">
      <c r="A27" s="232" t="s">
        <v>740</v>
      </c>
      <c r="B27" s="231" t="s">
        <v>741</v>
      </c>
      <c r="C27" s="231">
        <v>7.0000000000000007E-2</v>
      </c>
      <c r="D27" s="231">
        <v>0.93</v>
      </c>
      <c r="J27">
        <v>4</v>
      </c>
      <c r="K27" s="470">
        <v>0.11252148976605865</v>
      </c>
      <c r="L27" s="460">
        <f>K27*'SP11-5'!$E$12*7</f>
        <v>0</v>
      </c>
      <c r="M27" s="462">
        <f>J27*52*$K$21*'SP11-1'!$I$44</f>
        <v>0</v>
      </c>
      <c r="N27" t="str">
        <f t="shared" si="0"/>
        <v>NO CAP</v>
      </c>
      <c r="O27" s="463">
        <f t="shared" si="1"/>
        <v>0</v>
      </c>
      <c r="P27" s="465">
        <f>O27*'SP11-5'!$E$12*K27</f>
        <v>0</v>
      </c>
    </row>
    <row r="28" spans="1:18" ht="23.4" thickBot="1">
      <c r="A28" s="232" t="s">
        <v>742</v>
      </c>
      <c r="B28" s="231" t="s">
        <v>743</v>
      </c>
      <c r="C28" s="231">
        <v>7.0000000000000007E-2</v>
      </c>
      <c r="D28" s="231">
        <v>0.93</v>
      </c>
      <c r="J28">
        <v>5</v>
      </c>
      <c r="K28" s="470">
        <v>0.12813398586838592</v>
      </c>
      <c r="L28" s="460">
        <f>K28*'SP11-5'!$E$12*7</f>
        <v>0</v>
      </c>
      <c r="M28" s="462">
        <f>J28*52*$K$21*'SP11-1'!$I$44</f>
        <v>0</v>
      </c>
      <c r="N28" t="str">
        <f t="shared" si="0"/>
        <v>NO CAP</v>
      </c>
      <c r="O28" s="463">
        <f t="shared" si="1"/>
        <v>0</v>
      </c>
      <c r="P28" s="465">
        <f>O28*'SP11-5'!$E$12*K28</f>
        <v>0</v>
      </c>
    </row>
    <row r="29" spans="1:18" ht="34.799999999999997" thickBot="1">
      <c r="A29" s="232" t="s">
        <v>744</v>
      </c>
      <c r="B29" s="231" t="s">
        <v>745</v>
      </c>
      <c r="C29" s="231">
        <v>0.05</v>
      </c>
      <c r="D29" s="231">
        <v>0.95</v>
      </c>
      <c r="J29">
        <v>6</v>
      </c>
      <c r="K29" s="470">
        <v>4.148463250046959E-2</v>
      </c>
      <c r="L29" s="460">
        <f>K29*'SP11-5'!$E$12*7</f>
        <v>0</v>
      </c>
      <c r="M29" s="462">
        <f>J29*52*$K$21*'SP11-1'!$I$44</f>
        <v>0</v>
      </c>
      <c r="N29" t="str">
        <f t="shared" si="0"/>
        <v>NO CAP</v>
      </c>
      <c r="O29" s="463">
        <f t="shared" si="1"/>
        <v>0</v>
      </c>
      <c r="P29" s="465">
        <f>O29*'SP11-5'!$E$12*K29</f>
        <v>0</v>
      </c>
    </row>
    <row r="30" spans="1:18" ht="23.4" thickBot="1">
      <c r="A30" s="232" t="s">
        <v>746</v>
      </c>
      <c r="B30" s="231" t="s">
        <v>747</v>
      </c>
      <c r="C30" s="231">
        <v>0.05</v>
      </c>
      <c r="D30" s="231">
        <v>0.95</v>
      </c>
      <c r="J30">
        <v>7</v>
      </c>
      <c r="K30" s="470">
        <v>0.17073379666187888</v>
      </c>
      <c r="L30" s="460">
        <f>K30*'SP11-5'!$E$12*7</f>
        <v>0</v>
      </c>
      <c r="M30" s="462">
        <f>J30*52*$K$21*'SP11-1'!$I$44</f>
        <v>0</v>
      </c>
      <c r="N30" t="str">
        <f t="shared" si="0"/>
        <v>NO CAP</v>
      </c>
      <c r="O30" s="463">
        <f t="shared" si="1"/>
        <v>0</v>
      </c>
      <c r="P30" s="465">
        <f>O30*'SP11-5'!$E$12*K30</f>
        <v>0</v>
      </c>
    </row>
    <row r="31" spans="1:18" ht="23.4" thickBot="1">
      <c r="A31" s="232" t="s">
        <v>748</v>
      </c>
      <c r="B31" s="231" t="s">
        <v>749</v>
      </c>
      <c r="C31" s="231">
        <v>0.03</v>
      </c>
      <c r="D31" s="231">
        <v>0.97</v>
      </c>
    </row>
    <row r="32" spans="1:18" ht="72.599999999999994" thickBot="1">
      <c r="A32" s="232" t="s">
        <v>750</v>
      </c>
      <c r="B32" s="239"/>
      <c r="C32" s="231">
        <v>7.0000000000000007E-2</v>
      </c>
      <c r="D32" s="231">
        <v>0.93</v>
      </c>
      <c r="I32" s="485" t="s">
        <v>958</v>
      </c>
      <c r="J32" s="459" t="s">
        <v>943</v>
      </c>
      <c r="K32" s="459" t="s">
        <v>944</v>
      </c>
      <c r="L32" s="459" t="s">
        <v>945</v>
      </c>
      <c r="M32" s="459" t="s">
        <v>946</v>
      </c>
      <c r="N32" s="459" t="s">
        <v>947</v>
      </c>
      <c r="O32" s="459" t="s">
        <v>959</v>
      </c>
      <c r="P32" s="459" t="s">
        <v>960</v>
      </c>
    </row>
    <row r="33" spans="1:16" ht="15.6">
      <c r="A33" s="240"/>
      <c r="J33">
        <v>1</v>
      </c>
      <c r="K33" s="464">
        <v>0.25606796116504899</v>
      </c>
      <c r="L33" s="460">
        <f>K33*'SP11-5'!$E$12*7</f>
        <v>0</v>
      </c>
      <c r="M33" s="462">
        <f>J33*52*($Q$19*$K$19+$Q$20*$K$20)*'SP11-1'!$I$44</f>
        <v>0</v>
      </c>
      <c r="N33" t="str">
        <f t="shared" ref="N33:N39" si="2">IF(M33&lt;=$O$19,"NO CAP", "CAPPED")</f>
        <v>NO CAP</v>
      </c>
      <c r="O33" s="463">
        <f t="shared" ref="O33:O39" si="3">IF(N33="NO CAP",M33,( $N$20*$Q$20+$N$19*$Q$19))</f>
        <v>0</v>
      </c>
      <c r="P33" s="465">
        <f>O33*'SP11-5'!$E$33*K33</f>
        <v>0</v>
      </c>
    </row>
    <row r="34" spans="1:16" ht="16.2" thickBot="1">
      <c r="A34" s="237" t="s">
        <v>751</v>
      </c>
      <c r="B34" s="839" t="s">
        <v>752</v>
      </c>
      <c r="C34" s="839"/>
      <c r="D34" s="839"/>
      <c r="J34">
        <v>2</v>
      </c>
      <c r="K34" s="464">
        <v>0.21692961165048544</v>
      </c>
      <c r="L34" s="460">
        <f>K34*'SP11-5'!$E$12*7</f>
        <v>0</v>
      </c>
      <c r="M34" s="462">
        <f>J34*52*($Q$19*$K$19+$Q$20*$K$20)*'SP11-1'!$I$44</f>
        <v>0</v>
      </c>
      <c r="N34" t="str">
        <f t="shared" si="2"/>
        <v>NO CAP</v>
      </c>
      <c r="O34" s="463">
        <f t="shared" si="3"/>
        <v>0</v>
      </c>
      <c r="P34" s="465">
        <f>O34*'SP11-5'!$E$33*K34</f>
        <v>0</v>
      </c>
    </row>
    <row r="35" spans="1:16" ht="15.6">
      <c r="A35" s="837" t="s">
        <v>605</v>
      </c>
      <c r="B35" s="837" t="s">
        <v>723</v>
      </c>
      <c r="C35" s="235" t="s">
        <v>724</v>
      </c>
      <c r="D35" s="235" t="s">
        <v>725</v>
      </c>
      <c r="J35">
        <v>3</v>
      </c>
      <c r="K35" s="464">
        <v>0.17657766990291263</v>
      </c>
      <c r="L35" s="460">
        <f>K35*'SP11-5'!$E$12*7</f>
        <v>0</v>
      </c>
      <c r="M35" s="462">
        <f>J35*52*($Q$19*$K$19+$Q$20*$K$20)*'SP11-1'!$I$44</f>
        <v>0</v>
      </c>
      <c r="N35" t="str">
        <f t="shared" si="2"/>
        <v>NO CAP</v>
      </c>
      <c r="O35" s="463">
        <f t="shared" si="3"/>
        <v>0</v>
      </c>
      <c r="P35" s="465">
        <f>O35*'SP11-5'!$E$33*K35</f>
        <v>0</v>
      </c>
    </row>
    <row r="36" spans="1:16" ht="24.6" thickBot="1">
      <c r="A36" s="838"/>
      <c r="B36" s="838"/>
      <c r="C36" s="233" t="s">
        <v>726</v>
      </c>
      <c r="D36" s="233" t="s">
        <v>726</v>
      </c>
      <c r="J36">
        <v>4</v>
      </c>
      <c r="K36" s="464">
        <v>0.14654126213592233</v>
      </c>
      <c r="L36" s="460">
        <f>K36*'SP11-5'!$E$12*7</f>
        <v>0</v>
      </c>
      <c r="M36" s="462">
        <f>J36*52*($Q$19*$K$19+$Q$20*$K$20)*'SP11-1'!$I$44</f>
        <v>0</v>
      </c>
      <c r="N36" t="str">
        <f t="shared" si="2"/>
        <v>NO CAP</v>
      </c>
      <c r="O36" s="463">
        <f t="shared" si="3"/>
        <v>0</v>
      </c>
      <c r="P36" s="465">
        <f>O36*'SP11-5'!$E$33*K36</f>
        <v>0</v>
      </c>
    </row>
    <row r="37" spans="1:16" ht="16.2" thickBot="1">
      <c r="A37" s="232" t="s">
        <v>727</v>
      </c>
      <c r="B37" s="231" t="s">
        <v>753</v>
      </c>
      <c r="C37" s="231">
        <v>0.24</v>
      </c>
      <c r="D37" s="231">
        <v>0.76</v>
      </c>
      <c r="J37">
        <v>5</v>
      </c>
      <c r="K37" s="464">
        <v>0.1104368932038835</v>
      </c>
      <c r="L37" s="460">
        <f>K37*'SP11-5'!$E$12*7</f>
        <v>0</v>
      </c>
      <c r="M37" s="462">
        <f>J37*52*($Q$19*$K$19+$Q$20*$K$20)*'SP11-1'!$I$44</f>
        <v>0</v>
      </c>
      <c r="N37" t="str">
        <f t="shared" si="2"/>
        <v>NO CAP</v>
      </c>
      <c r="O37" s="463">
        <f t="shared" si="3"/>
        <v>0</v>
      </c>
      <c r="P37" s="465">
        <f>O37*'SP11-5'!$E$33*K37</f>
        <v>0</v>
      </c>
    </row>
    <row r="38" spans="1:16" ht="16.2" thickBot="1">
      <c r="A38" s="232" t="s">
        <v>729</v>
      </c>
      <c r="B38" s="231" t="s">
        <v>754</v>
      </c>
      <c r="C38" s="231">
        <v>0.1</v>
      </c>
      <c r="D38" s="231">
        <v>0.9</v>
      </c>
      <c r="J38">
        <v>6</v>
      </c>
      <c r="K38" s="464">
        <v>4.6116504854368932E-2</v>
      </c>
      <c r="L38" s="460">
        <f>K38*'SP11-5'!$E$12*7</f>
        <v>0</v>
      </c>
      <c r="M38" s="462">
        <f>J38*52*($Q$19*$K$19+$Q$20*$K$20)*'SP11-1'!$I$44</f>
        <v>0</v>
      </c>
      <c r="N38" t="str">
        <f t="shared" si="2"/>
        <v>NO CAP</v>
      </c>
      <c r="O38" s="463">
        <f t="shared" si="3"/>
        <v>0</v>
      </c>
      <c r="P38" s="465">
        <f>O38*'SP11-5'!$E$33*K38</f>
        <v>0</v>
      </c>
    </row>
    <row r="39" spans="1:16" ht="34.799999999999997" thickBot="1">
      <c r="A39" s="232" t="s">
        <v>755</v>
      </c>
      <c r="B39" s="231" t="s">
        <v>756</v>
      </c>
      <c r="C39" s="231">
        <v>0.1</v>
      </c>
      <c r="D39" s="231">
        <v>0.9</v>
      </c>
      <c r="J39">
        <v>7</v>
      </c>
      <c r="K39" s="464">
        <v>4.7330097087378641E-2</v>
      </c>
      <c r="L39" s="460">
        <f>K39*'SP11-5'!$E$12*7</f>
        <v>0</v>
      </c>
      <c r="M39" s="462">
        <f>J39*52*($Q$19*$K$19+$Q$20*$K$20)*'SP11-1'!$I$44</f>
        <v>0</v>
      </c>
      <c r="N39" t="str">
        <f t="shared" si="2"/>
        <v>NO CAP</v>
      </c>
      <c r="O39" s="463">
        <f t="shared" si="3"/>
        <v>0</v>
      </c>
      <c r="P39" s="465">
        <f>O39*'SP11-5'!$E$33*K39</f>
        <v>0</v>
      </c>
    </row>
    <row r="40" spans="1:16" ht="34.799999999999997" thickBot="1">
      <c r="A40" s="232" t="s">
        <v>732</v>
      </c>
      <c r="B40" s="231" t="s">
        <v>757</v>
      </c>
      <c r="C40" s="231">
        <v>0.1</v>
      </c>
      <c r="D40" s="231">
        <v>0.9</v>
      </c>
    </row>
    <row r="41" spans="1:16" ht="23.4" thickBot="1">
      <c r="A41" s="232" t="s">
        <v>734</v>
      </c>
      <c r="B41" s="231" t="s">
        <v>758</v>
      </c>
      <c r="C41" s="231">
        <v>0.2</v>
      </c>
      <c r="D41" s="231">
        <v>0.8</v>
      </c>
    </row>
    <row r="42" spans="1:16" ht="23.4" thickBot="1">
      <c r="A42" s="232" t="s">
        <v>736</v>
      </c>
      <c r="B42" s="231" t="s">
        <v>737</v>
      </c>
      <c r="C42" s="231">
        <v>0.08</v>
      </c>
      <c r="D42" s="231">
        <v>0.92</v>
      </c>
    </row>
    <row r="43" spans="1:16" ht="13.8" thickBot="1">
      <c r="A43" s="232" t="s">
        <v>738</v>
      </c>
      <c r="B43" s="231" t="s">
        <v>739</v>
      </c>
      <c r="C43" s="231">
        <v>0.26</v>
      </c>
      <c r="D43" s="231">
        <v>0.74</v>
      </c>
    </row>
    <row r="44" spans="1:16" ht="23.4" thickBot="1">
      <c r="A44" s="232" t="s">
        <v>740</v>
      </c>
      <c r="B44" s="231" t="s">
        <v>741</v>
      </c>
      <c r="C44" s="231">
        <v>0.11</v>
      </c>
      <c r="D44" s="231">
        <v>0.89</v>
      </c>
    </row>
    <row r="45" spans="1:16" ht="23.4" thickBot="1">
      <c r="A45" s="232" t="s">
        <v>742</v>
      </c>
      <c r="B45" s="231" t="s">
        <v>743</v>
      </c>
      <c r="C45" s="231">
        <v>0.11</v>
      </c>
      <c r="D45" s="231">
        <v>0.89</v>
      </c>
    </row>
    <row r="46" spans="1:16" ht="34.799999999999997" thickBot="1">
      <c r="A46" s="232" t="s">
        <v>744</v>
      </c>
      <c r="B46" s="231" t="s">
        <v>745</v>
      </c>
      <c r="C46" s="231">
        <v>0.1</v>
      </c>
      <c r="D46" s="231">
        <v>0.9</v>
      </c>
    </row>
    <row r="47" spans="1:16" ht="23.4" thickBot="1">
      <c r="A47" s="232" t="s">
        <v>746</v>
      </c>
      <c r="B47" s="231" t="s">
        <v>747</v>
      </c>
      <c r="C47" s="231">
        <v>0.09</v>
      </c>
      <c r="D47" s="231">
        <v>0.91</v>
      </c>
    </row>
    <row r="48" spans="1:16" ht="23.4" thickBot="1">
      <c r="A48" s="232" t="s">
        <v>748</v>
      </c>
      <c r="B48" s="231" t="s">
        <v>749</v>
      </c>
      <c r="C48" s="231">
        <v>0.1</v>
      </c>
      <c r="D48" s="231">
        <v>0.9</v>
      </c>
    </row>
    <row r="49" spans="1:4" ht="34.799999999999997" thickBot="1">
      <c r="A49" s="232" t="s">
        <v>750</v>
      </c>
      <c r="B49" s="239"/>
      <c r="C49" s="231">
        <v>0.14000000000000001</v>
      </c>
      <c r="D49" s="231">
        <v>0.86</v>
      </c>
    </row>
    <row r="50" spans="1:4" ht="19.8">
      <c r="A50" s="238"/>
    </row>
    <row r="51" spans="1:4" ht="19.8">
      <c r="A51" s="238" t="s">
        <v>718</v>
      </c>
      <c r="B51" s="238" t="s">
        <v>719</v>
      </c>
    </row>
    <row r="52" spans="1:4" ht="13.8" thickBot="1">
      <c r="A52" s="237" t="s">
        <v>759</v>
      </c>
      <c r="B52" s="237" t="s">
        <v>760</v>
      </c>
    </row>
    <row r="53" spans="1:4">
      <c r="A53" s="837" t="s">
        <v>605</v>
      </c>
      <c r="B53" s="837" t="s">
        <v>723</v>
      </c>
      <c r="C53" s="235" t="s">
        <v>761</v>
      </c>
      <c r="D53" s="235" t="s">
        <v>762</v>
      </c>
    </row>
    <row r="54" spans="1:4" ht="24" thickBot="1">
      <c r="A54" s="838"/>
      <c r="B54" s="838"/>
      <c r="C54" s="233" t="s">
        <v>726</v>
      </c>
      <c r="D54" s="233" t="s">
        <v>726</v>
      </c>
    </row>
    <row r="55" spans="1:4" ht="13.8" thickBot="1">
      <c r="A55" s="232" t="s">
        <v>727</v>
      </c>
      <c r="B55" s="231" t="s">
        <v>728</v>
      </c>
      <c r="C55" s="231">
        <v>0.36</v>
      </c>
      <c r="D55" s="231">
        <v>0.64</v>
      </c>
    </row>
    <row r="56" spans="1:4" ht="13.8" thickBot="1">
      <c r="A56" s="232" t="s">
        <v>729</v>
      </c>
      <c r="B56" s="231" t="s">
        <v>654</v>
      </c>
      <c r="C56" s="231">
        <v>0.16</v>
      </c>
      <c r="D56" s="231">
        <v>0.84</v>
      </c>
    </row>
    <row r="57" spans="1:4" ht="34.799999999999997" thickBot="1">
      <c r="A57" s="232" t="s">
        <v>755</v>
      </c>
      <c r="B57" s="231" t="s">
        <v>731</v>
      </c>
      <c r="C57" s="231">
        <v>0.17</v>
      </c>
      <c r="D57" s="231">
        <v>0.83</v>
      </c>
    </row>
    <row r="58" spans="1:4" ht="34.799999999999997" thickBot="1">
      <c r="A58" s="232" t="s">
        <v>732</v>
      </c>
      <c r="B58" s="231" t="s">
        <v>733</v>
      </c>
      <c r="C58" s="231">
        <v>0.14000000000000001</v>
      </c>
      <c r="D58" s="231">
        <v>0.86</v>
      </c>
    </row>
    <row r="59" spans="1:4" ht="23.4" thickBot="1">
      <c r="A59" s="232" t="s">
        <v>734</v>
      </c>
      <c r="B59" s="231" t="s">
        <v>735</v>
      </c>
      <c r="C59" s="231">
        <v>0.26</v>
      </c>
      <c r="D59" s="231">
        <v>0.74</v>
      </c>
    </row>
    <row r="60" spans="1:4" ht="23.4" thickBot="1">
      <c r="A60" s="232" t="s">
        <v>736</v>
      </c>
      <c r="B60" s="231" t="s">
        <v>763</v>
      </c>
      <c r="C60" s="231">
        <v>0.12</v>
      </c>
      <c r="D60" s="231">
        <v>0.88</v>
      </c>
    </row>
    <row r="61" spans="1:4" ht="13.8" thickBot="1">
      <c r="A61" s="232" t="s">
        <v>738</v>
      </c>
      <c r="B61" s="231" t="s">
        <v>764</v>
      </c>
      <c r="C61" s="231">
        <v>0.44</v>
      </c>
      <c r="D61" s="231">
        <v>0.56000000000000005</v>
      </c>
    </row>
    <row r="62" spans="1:4" ht="23.4" thickBot="1">
      <c r="A62" s="232" t="s">
        <v>740</v>
      </c>
      <c r="B62" s="231" t="s">
        <v>765</v>
      </c>
      <c r="C62" s="231">
        <v>0.14000000000000001</v>
      </c>
      <c r="D62" s="231">
        <v>0.86</v>
      </c>
    </row>
    <row r="63" spans="1:4" ht="23.4" thickBot="1">
      <c r="A63" s="232" t="s">
        <v>742</v>
      </c>
      <c r="B63" s="231" t="s">
        <v>766</v>
      </c>
      <c r="C63" s="231">
        <v>0.14000000000000001</v>
      </c>
      <c r="D63" s="231">
        <v>0.86</v>
      </c>
    </row>
    <row r="64" spans="1:4" ht="34.799999999999997" thickBot="1">
      <c r="A64" s="232" t="s">
        <v>744</v>
      </c>
      <c r="B64" s="231" t="s">
        <v>767</v>
      </c>
      <c r="C64" s="231">
        <v>0.14000000000000001</v>
      </c>
      <c r="D64" s="231">
        <v>0.86</v>
      </c>
    </row>
    <row r="65" spans="1:5" ht="23.4" thickBot="1">
      <c r="A65" s="232" t="s">
        <v>746</v>
      </c>
      <c r="B65" s="231" t="s">
        <v>768</v>
      </c>
      <c r="C65" s="231">
        <v>0.13</v>
      </c>
      <c r="D65" s="231">
        <v>0.87</v>
      </c>
    </row>
    <row r="66" spans="1:5" ht="23.4" thickBot="1">
      <c r="A66" s="232" t="s">
        <v>748</v>
      </c>
      <c r="B66" s="231" t="s">
        <v>769</v>
      </c>
      <c r="C66" s="231">
        <v>0.16</v>
      </c>
      <c r="D66" s="231">
        <v>0.84</v>
      </c>
    </row>
    <row r="67" spans="1:5" ht="34.799999999999997" thickBot="1">
      <c r="A67" s="232" t="s">
        <v>750</v>
      </c>
      <c r="B67" s="231"/>
      <c r="C67" s="231">
        <v>0.2</v>
      </c>
      <c r="D67" s="231">
        <v>0.8</v>
      </c>
    </row>
    <row r="68" spans="1:5" ht="13.8" thickBot="1">
      <c r="A68" s="237" t="s">
        <v>770</v>
      </c>
      <c r="B68" s="237" t="s">
        <v>771</v>
      </c>
    </row>
    <row r="69" spans="1:5" ht="13.8" thickBot="1">
      <c r="A69" s="254"/>
      <c r="B69" s="253"/>
      <c r="C69" s="252" t="s">
        <v>244</v>
      </c>
      <c r="D69" s="252" t="s">
        <v>245</v>
      </c>
      <c r="E69" s="252" t="s">
        <v>246</v>
      </c>
    </row>
    <row r="70" spans="1:5" ht="43.35" customHeight="1" thickBot="1">
      <c r="A70" s="833" t="s">
        <v>619</v>
      </c>
      <c r="B70" s="250" t="s">
        <v>620</v>
      </c>
      <c r="C70" s="835">
        <v>1</v>
      </c>
      <c r="D70" s="835">
        <v>1.5</v>
      </c>
      <c r="E70" s="250">
        <v>4.5</v>
      </c>
    </row>
    <row r="71" spans="1:5" ht="13.8" thickBot="1">
      <c r="A71" s="834"/>
      <c r="B71" s="250" t="s">
        <v>622</v>
      </c>
      <c r="C71" s="836"/>
      <c r="D71" s="836"/>
      <c r="E71" s="250">
        <v>2.75</v>
      </c>
    </row>
    <row r="72" spans="1:5" ht="89.1" customHeight="1" thickBot="1">
      <c r="A72" s="833" t="s">
        <v>624</v>
      </c>
      <c r="B72" s="250" t="s">
        <v>620</v>
      </c>
      <c r="C72" s="835">
        <v>1</v>
      </c>
      <c r="D72" s="835">
        <v>1.9</v>
      </c>
      <c r="E72" s="250">
        <v>7.5</v>
      </c>
    </row>
    <row r="73" spans="1:5" ht="13.8" thickBot="1">
      <c r="A73" s="834"/>
      <c r="B73" s="250" t="s">
        <v>622</v>
      </c>
      <c r="C73" s="836"/>
      <c r="D73" s="836"/>
      <c r="E73" s="250">
        <v>4.5</v>
      </c>
    </row>
    <row r="74" spans="1:5" ht="54.6" customHeight="1" thickBot="1">
      <c r="A74" s="833" t="s">
        <v>772</v>
      </c>
      <c r="B74" s="250" t="s">
        <v>620</v>
      </c>
      <c r="C74" s="835">
        <v>1</v>
      </c>
      <c r="D74" s="835">
        <v>2.2999999999999998</v>
      </c>
      <c r="E74" s="250">
        <v>13</v>
      </c>
    </row>
    <row r="75" spans="1:5" ht="13.8" thickBot="1">
      <c r="A75" s="834"/>
      <c r="B75" s="250" t="s">
        <v>622</v>
      </c>
      <c r="C75" s="836"/>
      <c r="D75" s="836"/>
      <c r="E75" s="250">
        <v>7.5</v>
      </c>
    </row>
    <row r="76" spans="1:5" ht="13.8" thickBot="1">
      <c r="A76" s="251" t="s">
        <v>339</v>
      </c>
      <c r="B76" s="250" t="s">
        <v>630</v>
      </c>
      <c r="C76" s="250">
        <v>1</v>
      </c>
      <c r="D76" s="250">
        <v>1.9</v>
      </c>
      <c r="E76" s="250">
        <v>1.9</v>
      </c>
    </row>
    <row r="77" spans="1:5" ht="13.8" thickBot="1">
      <c r="A77" s="251" t="s">
        <v>630</v>
      </c>
      <c r="B77" s="250" t="s">
        <v>630</v>
      </c>
      <c r="C77" s="250">
        <v>1</v>
      </c>
      <c r="D77" s="250">
        <v>1.7</v>
      </c>
      <c r="E77" s="250">
        <v>3.6</v>
      </c>
    </row>
    <row r="78" spans="1:5" ht="13.8" thickBot="1">
      <c r="A78" s="237" t="s">
        <v>773</v>
      </c>
      <c r="B78" s="237" t="s">
        <v>774</v>
      </c>
    </row>
    <row r="79" spans="1:5" ht="23.4" thickBot="1">
      <c r="A79" s="249" t="s">
        <v>639</v>
      </c>
      <c r="B79" s="248" t="s">
        <v>640</v>
      </c>
      <c r="C79" s="248" t="s">
        <v>641</v>
      </c>
      <c r="D79" s="248" t="s">
        <v>339</v>
      </c>
    </row>
    <row r="80" spans="1:5" ht="34.799999999999997" thickBot="1">
      <c r="A80" s="232" t="s">
        <v>643</v>
      </c>
      <c r="B80" s="247">
        <v>7</v>
      </c>
      <c r="C80" s="247">
        <v>18.5</v>
      </c>
      <c r="D80" s="247">
        <v>7</v>
      </c>
    </row>
    <row r="81" spans="1:31" ht="19.8">
      <c r="A81" s="238"/>
    </row>
    <row r="82" spans="1:31" ht="21.6" thickBot="1">
      <c r="A82" s="238" t="s">
        <v>718</v>
      </c>
      <c r="B82" s="238" t="s">
        <v>719</v>
      </c>
      <c r="S82" s="425" t="s">
        <v>877</v>
      </c>
      <c r="T82" s="425"/>
      <c r="U82" s="425"/>
      <c r="V82" s="425"/>
      <c r="W82" s="425"/>
      <c r="X82" s="425"/>
      <c r="Y82" s="425"/>
      <c r="Z82" s="425"/>
    </row>
    <row r="83" spans="1:31" ht="15" thickTop="1" thickBot="1">
      <c r="A83" s="237" t="s">
        <v>775</v>
      </c>
      <c r="B83" s="237" t="s">
        <v>776</v>
      </c>
      <c r="S83" s="426"/>
      <c r="T83" s="426"/>
      <c r="U83" s="426"/>
      <c r="V83" s="426"/>
      <c r="W83" s="426"/>
      <c r="X83" s="426"/>
      <c r="Y83" s="426"/>
      <c r="Z83" s="426"/>
    </row>
    <row r="84" spans="1:31" ht="34.35" customHeight="1" thickBot="1">
      <c r="A84" s="843" t="s">
        <v>777</v>
      </c>
      <c r="B84" s="844"/>
      <c r="C84" s="843" t="s">
        <v>778</v>
      </c>
      <c r="D84" s="845"/>
      <c r="E84" s="845"/>
      <c r="F84" s="845"/>
      <c r="G84" s="845"/>
      <c r="H84" s="844"/>
      <c r="S84" s="331" t="s">
        <v>878</v>
      </c>
      <c r="T84"/>
      <c r="U84"/>
      <c r="V84"/>
      <c r="W84"/>
      <c r="X84"/>
      <c r="Y84"/>
      <c r="Z84"/>
    </row>
    <row r="85" spans="1:31" ht="20.55" customHeight="1" thickBot="1">
      <c r="A85" s="236" t="s">
        <v>605</v>
      </c>
      <c r="B85" s="236" t="s">
        <v>723</v>
      </c>
      <c r="C85" s="837" t="s">
        <v>779</v>
      </c>
      <c r="D85" s="837" t="s">
        <v>780</v>
      </c>
      <c r="E85" s="837" t="s">
        <v>781</v>
      </c>
      <c r="F85" s="837" t="s">
        <v>782</v>
      </c>
      <c r="G85" s="246" t="s">
        <v>783</v>
      </c>
      <c r="H85" s="837" t="s">
        <v>608</v>
      </c>
      <c r="S85" s="424" t="s">
        <v>879</v>
      </c>
      <c r="T85" s="424"/>
      <c r="U85" s="424" t="s">
        <v>880</v>
      </c>
      <c r="V85" s="424"/>
      <c r="W85" s="424"/>
      <c r="X85" s="424"/>
      <c r="Y85" s="424"/>
      <c r="Z85" s="424"/>
    </row>
    <row r="86" spans="1:31" ht="42" thickBot="1">
      <c r="A86" s="234"/>
      <c r="B86" s="234"/>
      <c r="C86" s="838"/>
      <c r="D86" s="838"/>
      <c r="E86" s="838"/>
      <c r="F86" s="838"/>
      <c r="G86" s="233" t="s">
        <v>784</v>
      </c>
      <c r="H86" s="838"/>
      <c r="S86" s="427" t="s">
        <v>605</v>
      </c>
      <c r="T86" s="427" t="s">
        <v>723</v>
      </c>
      <c r="U86" s="427" t="s">
        <v>881</v>
      </c>
      <c r="V86" s="427" t="s">
        <v>882</v>
      </c>
      <c r="W86" s="427" t="s">
        <v>781</v>
      </c>
      <c r="X86" s="427" t="s">
        <v>782</v>
      </c>
      <c r="Y86" s="427" t="s">
        <v>883</v>
      </c>
      <c r="Z86" s="427" t="s">
        <v>608</v>
      </c>
    </row>
    <row r="87" spans="1:31" ht="14.1" customHeight="1" thickBot="1">
      <c r="A87" s="232" t="s">
        <v>785</v>
      </c>
      <c r="B87" s="28">
        <v>1</v>
      </c>
      <c r="C87" s="242">
        <f>U87*1000000</f>
        <v>12700000</v>
      </c>
      <c r="D87" s="242">
        <f t="shared" ref="D87:H99" si="4">V87*1000000</f>
        <v>13000000</v>
      </c>
      <c r="E87" s="242">
        <f t="shared" si="4"/>
        <v>12900000</v>
      </c>
      <c r="F87" s="242">
        <f t="shared" si="4"/>
        <v>12900000</v>
      </c>
      <c r="G87" s="242">
        <f t="shared" si="4"/>
        <v>16700000</v>
      </c>
      <c r="H87" s="242">
        <f t="shared" si="4"/>
        <v>14100000</v>
      </c>
      <c r="I87" s="28">
        <f>IF('SP11-6'!E8="",0,1)</f>
        <v>0</v>
      </c>
      <c r="J87" s="28" t="e">
        <f>VLOOKUP('SP11-6'!E8,K87:L99,2,FALSE)</f>
        <v>#N/A</v>
      </c>
      <c r="K87" s="232" t="s">
        <v>785</v>
      </c>
      <c r="L87" s="28">
        <v>1</v>
      </c>
      <c r="M87" s="28" t="e">
        <f>VLOOKUP('SP11-6'!N8,N87:O99,2,FALSE)</f>
        <v>#N/A</v>
      </c>
      <c r="N87" s="244" t="s">
        <v>779</v>
      </c>
      <c r="O87" s="28">
        <v>1</v>
      </c>
      <c r="S87" s="333" t="s">
        <v>785</v>
      </c>
      <c r="T87" s="333" t="s">
        <v>884</v>
      </c>
      <c r="U87" s="428">
        <v>12.7</v>
      </c>
      <c r="V87" s="428">
        <v>13</v>
      </c>
      <c r="W87" s="428">
        <v>12.9</v>
      </c>
      <c r="X87" s="428">
        <v>12.9</v>
      </c>
      <c r="Y87" s="428">
        <v>16.7</v>
      </c>
      <c r="Z87" s="428">
        <v>14.1</v>
      </c>
      <c r="AE87" s="28">
        <v>1</v>
      </c>
    </row>
    <row r="88" spans="1:31" ht="14.4" thickBot="1">
      <c r="A88" s="232" t="s">
        <v>786</v>
      </c>
      <c r="B88" s="28">
        <v>2</v>
      </c>
      <c r="C88" s="242">
        <f t="shared" ref="C88:C99" si="5">U88*1000000</f>
        <v>12700000</v>
      </c>
      <c r="D88" s="242">
        <f t="shared" si="4"/>
        <v>13000000</v>
      </c>
      <c r="E88" s="242">
        <f t="shared" si="4"/>
        <v>12900000</v>
      </c>
      <c r="F88" s="242">
        <f t="shared" si="4"/>
        <v>12900000</v>
      </c>
      <c r="G88" s="242">
        <f t="shared" si="4"/>
        <v>14900000</v>
      </c>
      <c r="H88" s="242">
        <f t="shared" si="4"/>
        <v>13600000</v>
      </c>
      <c r="I88" s="28">
        <f>IF('SP11-6'!N8="",0,1)</f>
        <v>0</v>
      </c>
      <c r="J88" s="241">
        <f ca="1">IF(I89=0,0,OFFSET(B86,$J$87,$M$87))</f>
        <v>0</v>
      </c>
      <c r="K88" s="232" t="s">
        <v>786</v>
      </c>
      <c r="L88" s="28">
        <v>2</v>
      </c>
      <c r="N88" s="244" t="s">
        <v>780</v>
      </c>
      <c r="O88" s="28">
        <v>2</v>
      </c>
      <c r="S88" s="333" t="s">
        <v>786</v>
      </c>
      <c r="T88" s="333" t="s">
        <v>654</v>
      </c>
      <c r="U88" s="428">
        <v>12.7</v>
      </c>
      <c r="V88" s="428">
        <v>13</v>
      </c>
      <c r="W88" s="428">
        <v>12.9</v>
      </c>
      <c r="X88" s="428">
        <v>12.9</v>
      </c>
      <c r="Y88" s="428">
        <v>14.9</v>
      </c>
      <c r="Z88" s="428">
        <v>13.6</v>
      </c>
      <c r="AE88" s="28">
        <v>2</v>
      </c>
    </row>
    <row r="89" spans="1:31" ht="42" thickBot="1">
      <c r="A89" s="232" t="s">
        <v>606</v>
      </c>
      <c r="B89" s="28">
        <v>3</v>
      </c>
      <c r="C89" s="242">
        <f t="shared" si="5"/>
        <v>12700000</v>
      </c>
      <c r="D89" s="242">
        <f t="shared" si="4"/>
        <v>13000000</v>
      </c>
      <c r="E89" s="242">
        <f t="shared" si="4"/>
        <v>12900000</v>
      </c>
      <c r="F89" s="242">
        <f t="shared" si="4"/>
        <v>12900000</v>
      </c>
      <c r="G89" s="242">
        <f t="shared" si="4"/>
        <v>15900000</v>
      </c>
      <c r="H89" s="242">
        <f t="shared" si="4"/>
        <v>15500000</v>
      </c>
      <c r="I89" s="28">
        <f>IF(I87+I88&lt;2,0,1)</f>
        <v>0</v>
      </c>
      <c r="K89" s="232" t="s">
        <v>606</v>
      </c>
      <c r="L89" s="28">
        <v>3</v>
      </c>
      <c r="N89" s="244" t="s">
        <v>781</v>
      </c>
      <c r="O89" s="28">
        <v>3</v>
      </c>
      <c r="S89" s="333" t="s">
        <v>606</v>
      </c>
      <c r="T89" s="333" t="s">
        <v>885</v>
      </c>
      <c r="U89" s="428">
        <v>12.7</v>
      </c>
      <c r="V89" s="428">
        <v>13</v>
      </c>
      <c r="W89" s="428">
        <v>12.9</v>
      </c>
      <c r="X89" s="428">
        <v>12.9</v>
      </c>
      <c r="Y89" s="428">
        <v>15.9</v>
      </c>
      <c r="Z89" s="428">
        <v>15.5</v>
      </c>
      <c r="AE89" s="28">
        <v>3</v>
      </c>
    </row>
    <row r="90" spans="1:31" ht="42" thickBot="1">
      <c r="A90" s="232" t="s">
        <v>787</v>
      </c>
      <c r="B90" s="28">
        <v>4</v>
      </c>
      <c r="C90" s="242">
        <f t="shared" si="5"/>
        <v>12700000</v>
      </c>
      <c r="D90" s="242">
        <f t="shared" si="4"/>
        <v>13000000</v>
      </c>
      <c r="E90" s="242">
        <f t="shared" si="4"/>
        <v>12900000</v>
      </c>
      <c r="F90" s="242">
        <f t="shared" si="4"/>
        <v>12900000</v>
      </c>
      <c r="G90" s="242">
        <f t="shared" si="4"/>
        <v>14900000</v>
      </c>
      <c r="H90" s="242">
        <f t="shared" si="4"/>
        <v>14200000</v>
      </c>
      <c r="K90" s="232" t="s">
        <v>787</v>
      </c>
      <c r="L90" s="28">
        <v>4</v>
      </c>
      <c r="N90" s="244" t="s">
        <v>782</v>
      </c>
      <c r="O90" s="28">
        <v>4</v>
      </c>
      <c r="S90" s="333" t="s">
        <v>787</v>
      </c>
      <c r="T90" s="333" t="s">
        <v>733</v>
      </c>
      <c r="U90" s="428">
        <v>12.7</v>
      </c>
      <c r="V90" s="428">
        <v>13</v>
      </c>
      <c r="W90" s="428">
        <v>12.9</v>
      </c>
      <c r="X90" s="428">
        <v>12.9</v>
      </c>
      <c r="Y90" s="428">
        <v>14.9</v>
      </c>
      <c r="Z90" s="428">
        <v>14.2</v>
      </c>
      <c r="AE90" s="28">
        <v>4</v>
      </c>
    </row>
    <row r="91" spans="1:31" ht="28.2" thickBot="1">
      <c r="A91" s="232" t="s">
        <v>788</v>
      </c>
      <c r="B91" s="28">
        <v>5</v>
      </c>
      <c r="C91" s="242">
        <f t="shared" si="5"/>
        <v>12700000</v>
      </c>
      <c r="D91" s="242">
        <f t="shared" si="4"/>
        <v>13000000</v>
      </c>
      <c r="E91" s="242">
        <f t="shared" si="4"/>
        <v>12900000</v>
      </c>
      <c r="F91" s="242">
        <f t="shared" si="4"/>
        <v>12900000</v>
      </c>
      <c r="G91" s="242">
        <f t="shared" si="4"/>
        <v>12700000</v>
      </c>
      <c r="H91" s="242">
        <f t="shared" si="4"/>
        <v>12700000</v>
      </c>
      <c r="K91" s="232" t="s">
        <v>788</v>
      </c>
      <c r="L91" s="28">
        <v>5</v>
      </c>
      <c r="N91" s="245" t="s">
        <v>789</v>
      </c>
      <c r="O91" s="28">
        <v>5</v>
      </c>
      <c r="S91" s="333" t="s">
        <v>788</v>
      </c>
      <c r="T91" s="333" t="s">
        <v>735</v>
      </c>
      <c r="U91" s="428">
        <v>12.7</v>
      </c>
      <c r="V91" s="428">
        <v>13</v>
      </c>
      <c r="W91" s="428">
        <v>12.9</v>
      </c>
      <c r="X91" s="428">
        <v>12.9</v>
      </c>
      <c r="Y91" s="428">
        <v>12.7</v>
      </c>
      <c r="Z91" s="428">
        <v>12.7</v>
      </c>
      <c r="AE91" s="28">
        <v>5</v>
      </c>
    </row>
    <row r="92" spans="1:31" ht="42" thickBot="1">
      <c r="A92" s="232" t="s">
        <v>790</v>
      </c>
      <c r="B92" s="28">
        <v>6</v>
      </c>
      <c r="C92" s="242">
        <f t="shared" si="5"/>
        <v>12700000</v>
      </c>
      <c r="D92" s="242">
        <f t="shared" si="4"/>
        <v>13000000</v>
      </c>
      <c r="E92" s="242">
        <f t="shared" si="4"/>
        <v>12900000</v>
      </c>
      <c r="F92" s="242">
        <f t="shared" si="4"/>
        <v>12900000</v>
      </c>
      <c r="G92" s="242">
        <f t="shared" si="4"/>
        <v>14900000</v>
      </c>
      <c r="H92" s="242">
        <f t="shared" si="4"/>
        <v>12700000</v>
      </c>
      <c r="K92" s="232" t="s">
        <v>790</v>
      </c>
      <c r="L92" s="28">
        <v>6</v>
      </c>
      <c r="N92" s="244" t="s">
        <v>608</v>
      </c>
      <c r="O92" s="28">
        <v>6</v>
      </c>
      <c r="S92" s="333" t="s">
        <v>790</v>
      </c>
      <c r="T92" s="333" t="s">
        <v>886</v>
      </c>
      <c r="U92" s="428">
        <v>12.7</v>
      </c>
      <c r="V92" s="428">
        <v>13</v>
      </c>
      <c r="W92" s="428">
        <v>12.9</v>
      </c>
      <c r="X92" s="428">
        <v>12.9</v>
      </c>
      <c r="Y92" s="428">
        <v>14.9</v>
      </c>
      <c r="Z92" s="428">
        <v>12.7</v>
      </c>
      <c r="AE92" s="28">
        <v>6</v>
      </c>
    </row>
    <row r="93" spans="1:31" ht="28.2" thickBot="1">
      <c r="A93" s="232" t="s">
        <v>620</v>
      </c>
      <c r="B93" s="28">
        <v>7</v>
      </c>
      <c r="C93" s="242">
        <f t="shared" si="5"/>
        <v>12700000</v>
      </c>
      <c r="D93" s="242">
        <f t="shared" si="4"/>
        <v>13000000</v>
      </c>
      <c r="E93" s="242">
        <f t="shared" si="4"/>
        <v>12900000</v>
      </c>
      <c r="F93" s="242">
        <f t="shared" si="4"/>
        <v>12700000</v>
      </c>
      <c r="G93" s="242">
        <f t="shared" si="4"/>
        <v>12700000</v>
      </c>
      <c r="H93" s="242">
        <f t="shared" si="4"/>
        <v>12700000</v>
      </c>
      <c r="K93" s="232" t="s">
        <v>620</v>
      </c>
      <c r="L93" s="28">
        <v>7</v>
      </c>
      <c r="S93" s="333" t="s">
        <v>620</v>
      </c>
      <c r="T93" s="333" t="s">
        <v>887</v>
      </c>
      <c r="U93" s="428">
        <v>12.7</v>
      </c>
      <c r="V93" s="428">
        <v>13</v>
      </c>
      <c r="W93" s="428">
        <v>12.9</v>
      </c>
      <c r="X93" s="428">
        <v>12.7</v>
      </c>
      <c r="Y93" s="428">
        <v>12.7</v>
      </c>
      <c r="Z93" s="428">
        <v>12.7</v>
      </c>
    </row>
    <row r="94" spans="1:31" ht="28.2" thickBot="1">
      <c r="A94" s="232" t="s">
        <v>791</v>
      </c>
      <c r="B94" s="28">
        <v>8</v>
      </c>
      <c r="C94" s="242">
        <f t="shared" si="5"/>
        <v>12700000</v>
      </c>
      <c r="D94" s="242">
        <f t="shared" si="4"/>
        <v>13000000</v>
      </c>
      <c r="E94" s="242">
        <f t="shared" si="4"/>
        <v>12900000</v>
      </c>
      <c r="F94" s="242">
        <f t="shared" si="4"/>
        <v>12900000</v>
      </c>
      <c r="G94" s="242">
        <f t="shared" si="4"/>
        <v>14900000</v>
      </c>
      <c r="H94" s="242">
        <f t="shared" si="4"/>
        <v>14200000</v>
      </c>
      <c r="K94" s="232" t="s">
        <v>791</v>
      </c>
      <c r="L94" s="28">
        <v>8</v>
      </c>
      <c r="S94" s="333" t="s">
        <v>791</v>
      </c>
      <c r="T94" s="333" t="s">
        <v>888</v>
      </c>
      <c r="U94" s="428">
        <v>12.7</v>
      </c>
      <c r="V94" s="428">
        <v>13</v>
      </c>
      <c r="W94" s="428">
        <v>12.9</v>
      </c>
      <c r="X94" s="428">
        <v>12.9</v>
      </c>
      <c r="Y94" s="428">
        <v>14.9</v>
      </c>
      <c r="Z94" s="428">
        <v>14.2</v>
      </c>
    </row>
    <row r="95" spans="1:31" ht="28.2" thickBot="1">
      <c r="A95" s="232" t="s">
        <v>792</v>
      </c>
      <c r="B95" s="28">
        <v>9</v>
      </c>
      <c r="C95" s="242">
        <f t="shared" si="5"/>
        <v>12700000</v>
      </c>
      <c r="D95" s="242">
        <f t="shared" si="4"/>
        <v>13000000</v>
      </c>
      <c r="E95" s="242">
        <f t="shared" si="4"/>
        <v>12900000</v>
      </c>
      <c r="F95" s="242">
        <f t="shared" si="4"/>
        <v>12900000</v>
      </c>
      <c r="G95" s="242">
        <f t="shared" si="4"/>
        <v>14900000</v>
      </c>
      <c r="H95" s="242">
        <f t="shared" si="4"/>
        <v>14200000</v>
      </c>
      <c r="K95" s="232" t="s">
        <v>792</v>
      </c>
      <c r="L95" s="28">
        <v>9</v>
      </c>
      <c r="S95" s="333" t="s">
        <v>792</v>
      </c>
      <c r="T95" s="333" t="s">
        <v>889</v>
      </c>
      <c r="U95" s="428">
        <v>12.7</v>
      </c>
      <c r="V95" s="428">
        <v>13</v>
      </c>
      <c r="W95" s="428">
        <v>12.9</v>
      </c>
      <c r="X95" s="428">
        <v>12.9</v>
      </c>
      <c r="Y95" s="428">
        <v>14.9</v>
      </c>
      <c r="Z95" s="428">
        <v>14.2</v>
      </c>
    </row>
    <row r="96" spans="1:31" ht="42" thickBot="1">
      <c r="A96" s="232" t="s">
        <v>793</v>
      </c>
      <c r="B96" s="28">
        <v>10</v>
      </c>
      <c r="C96" s="242">
        <f t="shared" si="5"/>
        <v>12700000</v>
      </c>
      <c r="D96" s="242">
        <f t="shared" si="4"/>
        <v>13000000</v>
      </c>
      <c r="E96" s="242">
        <f t="shared" si="4"/>
        <v>12900000</v>
      </c>
      <c r="F96" s="242">
        <f t="shared" si="4"/>
        <v>12900000</v>
      </c>
      <c r="G96" s="242">
        <f t="shared" si="4"/>
        <v>14900000</v>
      </c>
      <c r="H96" s="242">
        <f t="shared" si="4"/>
        <v>14200000</v>
      </c>
      <c r="K96" s="232" t="s">
        <v>793</v>
      </c>
      <c r="L96" s="28">
        <v>10</v>
      </c>
      <c r="S96" s="333" t="s">
        <v>793</v>
      </c>
      <c r="T96" s="333" t="s">
        <v>890</v>
      </c>
      <c r="U96" s="428">
        <v>12.7</v>
      </c>
      <c r="V96" s="428">
        <v>13</v>
      </c>
      <c r="W96" s="428">
        <v>12.9</v>
      </c>
      <c r="X96" s="428">
        <v>12.9</v>
      </c>
      <c r="Y96" s="428">
        <v>14.9</v>
      </c>
      <c r="Z96" s="428">
        <v>14.2</v>
      </c>
    </row>
    <row r="97" spans="1:26" ht="23.55" customHeight="1" thickBot="1">
      <c r="A97" s="232" t="s">
        <v>794</v>
      </c>
      <c r="B97" s="28">
        <v>11</v>
      </c>
      <c r="C97" s="242">
        <f t="shared" si="5"/>
        <v>12700000</v>
      </c>
      <c r="D97" s="242">
        <f t="shared" si="4"/>
        <v>13000000</v>
      </c>
      <c r="E97" s="242">
        <f t="shared" si="4"/>
        <v>12900000</v>
      </c>
      <c r="F97" s="242">
        <f t="shared" si="4"/>
        <v>12900000</v>
      </c>
      <c r="G97" s="242">
        <f t="shared" si="4"/>
        <v>15300000</v>
      </c>
      <c r="H97" s="242">
        <f t="shared" si="4"/>
        <v>14200000</v>
      </c>
      <c r="K97" s="232" t="s">
        <v>794</v>
      </c>
      <c r="L97" s="28">
        <v>11</v>
      </c>
      <c r="S97" s="333" t="s">
        <v>794</v>
      </c>
      <c r="T97" s="333" t="s">
        <v>768</v>
      </c>
      <c r="U97" s="428">
        <v>12.7</v>
      </c>
      <c r="V97" s="428">
        <v>13</v>
      </c>
      <c r="W97" s="428">
        <v>12.9</v>
      </c>
      <c r="X97" s="428">
        <v>12.9</v>
      </c>
      <c r="Y97" s="428">
        <v>15.3</v>
      </c>
      <c r="Z97" s="428">
        <v>14.2</v>
      </c>
    </row>
    <row r="98" spans="1:26" ht="28.2" thickBot="1">
      <c r="A98" s="232" t="s">
        <v>795</v>
      </c>
      <c r="B98" s="28">
        <v>12</v>
      </c>
      <c r="C98" s="242">
        <f t="shared" si="5"/>
        <v>12700000</v>
      </c>
      <c r="D98" s="242">
        <f t="shared" si="4"/>
        <v>12900000</v>
      </c>
      <c r="E98" s="242">
        <f t="shared" si="4"/>
        <v>12900000</v>
      </c>
      <c r="F98" s="242">
        <f t="shared" si="4"/>
        <v>12900000</v>
      </c>
      <c r="G98" s="242">
        <f t="shared" si="4"/>
        <v>14900000</v>
      </c>
      <c r="H98" s="242">
        <f t="shared" si="4"/>
        <v>13900000</v>
      </c>
      <c r="K98" s="232" t="s">
        <v>795</v>
      </c>
      <c r="L98" s="28">
        <v>12</v>
      </c>
      <c r="S98" s="333" t="s">
        <v>795</v>
      </c>
      <c r="T98" s="333" t="s">
        <v>891</v>
      </c>
      <c r="U98" s="428">
        <v>12.7</v>
      </c>
      <c r="V98" s="428">
        <v>12.9</v>
      </c>
      <c r="W98" s="428">
        <v>12.9</v>
      </c>
      <c r="X98" s="428">
        <v>12.9</v>
      </c>
      <c r="Y98" s="428">
        <v>14.9</v>
      </c>
      <c r="Z98" s="428">
        <v>13.9</v>
      </c>
    </row>
    <row r="99" spans="1:26" ht="42" thickBot="1">
      <c r="A99" s="232" t="s">
        <v>643</v>
      </c>
      <c r="B99" s="28">
        <v>13</v>
      </c>
      <c r="C99" s="242">
        <f t="shared" si="5"/>
        <v>12700000</v>
      </c>
      <c r="D99" s="242">
        <f t="shared" si="4"/>
        <v>13000000</v>
      </c>
      <c r="E99" s="242">
        <f t="shared" si="4"/>
        <v>12900000</v>
      </c>
      <c r="F99" s="242">
        <f t="shared" si="4"/>
        <v>12900000</v>
      </c>
      <c r="G99" s="242">
        <f t="shared" si="4"/>
        <v>14900000</v>
      </c>
      <c r="H99" s="242">
        <f t="shared" si="4"/>
        <v>14200000</v>
      </c>
      <c r="K99" s="232" t="s">
        <v>643</v>
      </c>
      <c r="L99" s="28">
        <v>13</v>
      </c>
      <c r="S99" s="333" t="s">
        <v>643</v>
      </c>
      <c r="T99" s="333"/>
      <c r="U99" s="428">
        <v>12.7</v>
      </c>
      <c r="V99" s="428">
        <v>13</v>
      </c>
      <c r="W99" s="428">
        <v>12.9</v>
      </c>
      <c r="X99" s="428">
        <v>12.9</v>
      </c>
      <c r="Y99" s="428">
        <v>14.9</v>
      </c>
      <c r="Z99" s="428">
        <v>14.2</v>
      </c>
    </row>
    <row r="100" spans="1:26" ht="13.8">
      <c r="A100" s="240"/>
      <c r="B100" s="28">
        <v>14</v>
      </c>
      <c r="S100" s="429"/>
      <c r="T100" s="429"/>
      <c r="U100" s="429"/>
      <c r="V100" s="429"/>
      <c r="W100" s="429"/>
      <c r="X100" s="429"/>
      <c r="Y100" s="429"/>
      <c r="Z100" s="429"/>
    </row>
    <row r="101" spans="1:26" ht="16.2" thickBot="1">
      <c r="A101" s="237" t="s">
        <v>796</v>
      </c>
      <c r="B101" s="237" t="s">
        <v>797</v>
      </c>
      <c r="S101" s="331" t="s">
        <v>892</v>
      </c>
      <c r="T101"/>
      <c r="U101"/>
      <c r="V101"/>
      <c r="W101"/>
      <c r="X101"/>
      <c r="Y101"/>
      <c r="Z101"/>
    </row>
    <row r="102" spans="1:26" ht="34.35" customHeight="1" thickBot="1">
      <c r="A102" s="843" t="s">
        <v>798</v>
      </c>
      <c r="B102" s="844"/>
      <c r="C102" s="843" t="s">
        <v>778</v>
      </c>
      <c r="D102" s="845"/>
      <c r="E102" s="845"/>
      <c r="F102" s="845"/>
      <c r="G102" s="845"/>
      <c r="H102" s="844"/>
      <c r="S102" s="430" t="s">
        <v>893</v>
      </c>
      <c r="T102" s="430"/>
      <c r="U102" s="430" t="s">
        <v>894</v>
      </c>
      <c r="V102" s="430"/>
      <c r="W102" s="430"/>
      <c r="X102" s="430"/>
      <c r="Y102" s="430"/>
      <c r="Z102" s="430"/>
    </row>
    <row r="103" spans="1:26" ht="42" thickBot="1">
      <c r="A103" s="243" t="s">
        <v>605</v>
      </c>
      <c r="B103" s="233" t="s">
        <v>723</v>
      </c>
      <c r="C103" s="233" t="s">
        <v>779</v>
      </c>
      <c r="D103" s="233" t="s">
        <v>780</v>
      </c>
      <c r="E103" s="233" t="s">
        <v>781</v>
      </c>
      <c r="F103" s="233" t="s">
        <v>782</v>
      </c>
      <c r="G103" s="233" t="s">
        <v>789</v>
      </c>
      <c r="H103" s="233" t="s">
        <v>608</v>
      </c>
      <c r="S103" s="427" t="s">
        <v>605</v>
      </c>
      <c r="T103" s="427" t="s">
        <v>723</v>
      </c>
      <c r="U103" s="427" t="s">
        <v>881</v>
      </c>
      <c r="V103" s="427" t="s">
        <v>882</v>
      </c>
      <c r="W103" s="427" t="s">
        <v>781</v>
      </c>
      <c r="X103" s="427" t="s">
        <v>782</v>
      </c>
      <c r="Y103" s="427" t="s">
        <v>883</v>
      </c>
      <c r="Z103" s="427" t="s">
        <v>608</v>
      </c>
    </row>
    <row r="104" spans="1:26" ht="14.4" thickBot="1">
      <c r="A104" s="232" t="s">
        <v>785</v>
      </c>
      <c r="B104" s="28">
        <v>1</v>
      </c>
      <c r="C104" s="242">
        <f>U104*1000</f>
        <v>684000</v>
      </c>
      <c r="D104" s="242">
        <f t="shared" ref="D104:H116" si="6">V104*1000</f>
        <v>684000</v>
      </c>
      <c r="E104" s="242">
        <f t="shared" si="6"/>
        <v>707000</v>
      </c>
      <c r="F104" s="242">
        <f t="shared" si="6"/>
        <v>731000</v>
      </c>
      <c r="G104" s="242">
        <f t="shared" si="6"/>
        <v>1033000</v>
      </c>
      <c r="H104" s="242">
        <f t="shared" si="6"/>
        <v>930000</v>
      </c>
      <c r="S104" s="333" t="s">
        <v>785</v>
      </c>
      <c r="T104" s="333" t="s">
        <v>884</v>
      </c>
      <c r="U104" s="431">
        <v>684</v>
      </c>
      <c r="V104" s="431">
        <v>684</v>
      </c>
      <c r="W104" s="431">
        <v>707</v>
      </c>
      <c r="X104" s="431">
        <v>731</v>
      </c>
      <c r="Y104" s="431">
        <v>1033</v>
      </c>
      <c r="Z104" s="431">
        <v>930</v>
      </c>
    </row>
    <row r="105" spans="1:26" ht="14.4" thickBot="1">
      <c r="A105" s="232" t="s">
        <v>786</v>
      </c>
      <c r="B105" s="28">
        <v>2</v>
      </c>
      <c r="C105" s="242">
        <f t="shared" ref="C105:C114" si="7">U105*1000</f>
        <v>684000</v>
      </c>
      <c r="D105" s="242">
        <f t="shared" si="6"/>
        <v>731000</v>
      </c>
      <c r="E105" s="242">
        <f t="shared" si="6"/>
        <v>755000</v>
      </c>
      <c r="F105" s="242">
        <f t="shared" si="6"/>
        <v>739000</v>
      </c>
      <c r="G105" s="242">
        <f t="shared" si="6"/>
        <v>707000</v>
      </c>
      <c r="H105" s="242">
        <f t="shared" si="6"/>
        <v>707000</v>
      </c>
      <c r="J105" s="241">
        <f ca="1">IF(I106=0,0,OFFSET(B103,$J$87,$M$87))</f>
        <v>0</v>
      </c>
      <c r="S105" s="333" t="s">
        <v>786</v>
      </c>
      <c r="T105" s="333" t="s">
        <v>654</v>
      </c>
      <c r="U105" s="431">
        <v>684</v>
      </c>
      <c r="V105" s="431">
        <v>731</v>
      </c>
      <c r="W105" s="431">
        <v>755</v>
      </c>
      <c r="X105" s="431">
        <v>739</v>
      </c>
      <c r="Y105" s="431">
        <v>707</v>
      </c>
      <c r="Z105" s="431">
        <v>707</v>
      </c>
    </row>
    <row r="106" spans="1:26" ht="42" thickBot="1">
      <c r="A106" s="232" t="s">
        <v>606</v>
      </c>
      <c r="B106" s="28">
        <v>3</v>
      </c>
      <c r="C106" s="242">
        <f t="shared" si="7"/>
        <v>684000</v>
      </c>
      <c r="D106" s="242">
        <f t="shared" si="6"/>
        <v>707000</v>
      </c>
      <c r="E106" s="242">
        <f t="shared" si="6"/>
        <v>755000</v>
      </c>
      <c r="F106" s="242">
        <f t="shared" si="6"/>
        <v>803000</v>
      </c>
      <c r="G106" s="242">
        <f t="shared" si="6"/>
        <v>835000</v>
      </c>
      <c r="H106" s="242">
        <f t="shared" si="6"/>
        <v>803000</v>
      </c>
      <c r="I106" s="28">
        <f>I89</f>
        <v>0</v>
      </c>
      <c r="S106" s="333" t="s">
        <v>606</v>
      </c>
      <c r="T106" s="333" t="s">
        <v>885</v>
      </c>
      <c r="U106" s="431">
        <v>684</v>
      </c>
      <c r="V106" s="431">
        <v>707</v>
      </c>
      <c r="W106" s="431">
        <v>755</v>
      </c>
      <c r="X106" s="431">
        <v>803</v>
      </c>
      <c r="Y106" s="431">
        <v>835</v>
      </c>
      <c r="Z106" s="431">
        <v>803</v>
      </c>
    </row>
    <row r="107" spans="1:26" ht="42" thickBot="1">
      <c r="A107" s="232" t="s">
        <v>787</v>
      </c>
      <c r="B107" s="28">
        <v>4</v>
      </c>
      <c r="C107" s="242">
        <f t="shared" si="7"/>
        <v>684000</v>
      </c>
      <c r="D107" s="242">
        <f t="shared" si="6"/>
        <v>684000</v>
      </c>
      <c r="E107" s="242">
        <f t="shared" si="6"/>
        <v>755000</v>
      </c>
      <c r="F107" s="242">
        <f t="shared" si="6"/>
        <v>771000</v>
      </c>
      <c r="G107" s="242">
        <f t="shared" si="6"/>
        <v>827000</v>
      </c>
      <c r="H107" s="242">
        <f t="shared" si="6"/>
        <v>739000</v>
      </c>
      <c r="S107" s="333" t="s">
        <v>787</v>
      </c>
      <c r="T107" s="333" t="s">
        <v>733</v>
      </c>
      <c r="U107" s="431">
        <v>684</v>
      </c>
      <c r="V107" s="431">
        <v>684</v>
      </c>
      <c r="W107" s="431">
        <v>755</v>
      </c>
      <c r="X107" s="431">
        <v>771</v>
      </c>
      <c r="Y107" s="431">
        <v>827</v>
      </c>
      <c r="Z107" s="431">
        <v>739</v>
      </c>
    </row>
    <row r="108" spans="1:26" ht="28.2" thickBot="1">
      <c r="A108" s="232" t="s">
        <v>788</v>
      </c>
      <c r="B108" s="28">
        <v>5</v>
      </c>
      <c r="C108" s="242">
        <f t="shared" si="7"/>
        <v>692000</v>
      </c>
      <c r="D108" s="242">
        <f t="shared" si="6"/>
        <v>684000</v>
      </c>
      <c r="E108" s="242">
        <f t="shared" si="6"/>
        <v>755000</v>
      </c>
      <c r="F108" s="242">
        <f t="shared" si="6"/>
        <v>684000</v>
      </c>
      <c r="G108" s="242">
        <f t="shared" si="6"/>
        <v>787000</v>
      </c>
      <c r="H108" s="242">
        <f t="shared" si="6"/>
        <v>755000</v>
      </c>
      <c r="S108" s="333" t="s">
        <v>788</v>
      </c>
      <c r="T108" s="333" t="s">
        <v>735</v>
      </c>
      <c r="U108" s="431">
        <v>692</v>
      </c>
      <c r="V108" s="431">
        <v>684</v>
      </c>
      <c r="W108" s="431">
        <v>755</v>
      </c>
      <c r="X108" s="431">
        <v>684</v>
      </c>
      <c r="Y108" s="431">
        <v>787</v>
      </c>
      <c r="Z108" s="431">
        <v>755</v>
      </c>
    </row>
    <row r="109" spans="1:26" ht="42" thickBot="1">
      <c r="A109" s="232" t="s">
        <v>790</v>
      </c>
      <c r="B109" s="28">
        <v>6</v>
      </c>
      <c r="C109" s="242">
        <f t="shared" si="7"/>
        <v>684000</v>
      </c>
      <c r="D109" s="242">
        <f t="shared" si="6"/>
        <v>684000</v>
      </c>
      <c r="E109" s="242">
        <f t="shared" si="6"/>
        <v>755000</v>
      </c>
      <c r="F109" s="242">
        <f t="shared" si="6"/>
        <v>771000</v>
      </c>
      <c r="G109" s="242">
        <f t="shared" si="6"/>
        <v>819000</v>
      </c>
      <c r="H109" s="242">
        <f t="shared" si="6"/>
        <v>700000</v>
      </c>
      <c r="S109" s="333" t="s">
        <v>790</v>
      </c>
      <c r="T109" s="333" t="s">
        <v>886</v>
      </c>
      <c r="U109" s="431">
        <v>684</v>
      </c>
      <c r="V109" s="431">
        <v>684</v>
      </c>
      <c r="W109" s="431">
        <v>755</v>
      </c>
      <c r="X109" s="431">
        <v>771</v>
      </c>
      <c r="Y109" s="431">
        <v>819</v>
      </c>
      <c r="Z109" s="431">
        <v>700</v>
      </c>
    </row>
    <row r="110" spans="1:26" ht="28.2" thickBot="1">
      <c r="A110" s="232" t="s">
        <v>620</v>
      </c>
      <c r="B110" s="28">
        <v>7</v>
      </c>
      <c r="C110" s="242">
        <f t="shared" si="7"/>
        <v>755000</v>
      </c>
      <c r="D110" s="242">
        <f t="shared" si="6"/>
        <v>787000</v>
      </c>
      <c r="E110" s="242">
        <f t="shared" si="6"/>
        <v>684000</v>
      </c>
      <c r="F110" s="242">
        <f>X110*1000</f>
        <v>739000</v>
      </c>
      <c r="G110" s="242">
        <f t="shared" si="6"/>
        <v>692000</v>
      </c>
      <c r="H110" s="242">
        <f t="shared" si="6"/>
        <v>700000</v>
      </c>
      <c r="S110" s="333" t="s">
        <v>620</v>
      </c>
      <c r="T110" s="333" t="s">
        <v>887</v>
      </c>
      <c r="U110" s="431">
        <v>755</v>
      </c>
      <c r="V110" s="431">
        <v>787</v>
      </c>
      <c r="W110" s="431">
        <v>684</v>
      </c>
      <c r="X110" s="431">
        <v>739</v>
      </c>
      <c r="Y110" s="431">
        <v>692</v>
      </c>
      <c r="Z110" s="431">
        <v>700</v>
      </c>
    </row>
    <row r="111" spans="1:26" ht="28.2" thickBot="1">
      <c r="A111" s="232" t="s">
        <v>791</v>
      </c>
      <c r="B111" s="28">
        <v>8</v>
      </c>
      <c r="C111" s="242">
        <f t="shared" si="7"/>
        <v>692000</v>
      </c>
      <c r="D111" s="242">
        <f t="shared" si="6"/>
        <v>684000</v>
      </c>
      <c r="E111" s="242">
        <f t="shared" si="6"/>
        <v>755000</v>
      </c>
      <c r="F111" s="242">
        <f t="shared" si="6"/>
        <v>707000</v>
      </c>
      <c r="G111" s="242">
        <f t="shared" si="6"/>
        <v>731000</v>
      </c>
      <c r="H111" s="242">
        <f t="shared" si="6"/>
        <v>715000</v>
      </c>
      <c r="S111" s="333" t="s">
        <v>791</v>
      </c>
      <c r="T111" s="333" t="s">
        <v>888</v>
      </c>
      <c r="U111" s="431">
        <v>692</v>
      </c>
      <c r="V111" s="431">
        <v>684</v>
      </c>
      <c r="W111" s="431">
        <v>755</v>
      </c>
      <c r="X111" s="431">
        <v>707</v>
      </c>
      <c r="Y111" s="431">
        <v>731</v>
      </c>
      <c r="Z111" s="431">
        <v>715</v>
      </c>
    </row>
    <row r="112" spans="1:26" ht="28.2" thickBot="1">
      <c r="A112" s="232" t="s">
        <v>792</v>
      </c>
      <c r="B112" s="28">
        <v>9</v>
      </c>
      <c r="C112" s="242">
        <f t="shared" si="7"/>
        <v>692000</v>
      </c>
      <c r="D112" s="242">
        <f t="shared" si="6"/>
        <v>684000</v>
      </c>
      <c r="E112" s="242">
        <f t="shared" si="6"/>
        <v>755000</v>
      </c>
      <c r="F112" s="242">
        <f t="shared" si="6"/>
        <v>803000</v>
      </c>
      <c r="G112" s="242">
        <f t="shared" si="6"/>
        <v>731000</v>
      </c>
      <c r="H112" s="242">
        <f t="shared" si="6"/>
        <v>731000</v>
      </c>
      <c r="S112" s="333" t="s">
        <v>792</v>
      </c>
      <c r="T112" s="333" t="s">
        <v>889</v>
      </c>
      <c r="U112" s="431">
        <v>692</v>
      </c>
      <c r="V112" s="431">
        <v>684</v>
      </c>
      <c r="W112" s="431">
        <v>755</v>
      </c>
      <c r="X112" s="431">
        <v>803</v>
      </c>
      <c r="Y112" s="431">
        <v>731</v>
      </c>
      <c r="Z112" s="431">
        <v>731</v>
      </c>
    </row>
    <row r="113" spans="1:26" ht="42" thickBot="1">
      <c r="A113" s="232" t="s">
        <v>793</v>
      </c>
      <c r="B113" s="28">
        <v>10</v>
      </c>
      <c r="C113" s="242">
        <f t="shared" si="7"/>
        <v>684000</v>
      </c>
      <c r="D113" s="242">
        <f t="shared" si="6"/>
        <v>707000</v>
      </c>
      <c r="E113" s="242">
        <f t="shared" si="6"/>
        <v>755000</v>
      </c>
      <c r="F113" s="242">
        <f t="shared" si="6"/>
        <v>771000</v>
      </c>
      <c r="G113" s="242">
        <f t="shared" si="6"/>
        <v>835000</v>
      </c>
      <c r="H113" s="242">
        <f t="shared" si="6"/>
        <v>739000</v>
      </c>
      <c r="S113" s="333" t="s">
        <v>793</v>
      </c>
      <c r="T113" s="333" t="s">
        <v>890</v>
      </c>
      <c r="U113" s="431">
        <v>684</v>
      </c>
      <c r="V113" s="431">
        <v>707</v>
      </c>
      <c r="W113" s="431">
        <v>755</v>
      </c>
      <c r="X113" s="431">
        <v>771</v>
      </c>
      <c r="Y113" s="431">
        <v>835</v>
      </c>
      <c r="Z113" s="431">
        <v>739</v>
      </c>
    </row>
    <row r="114" spans="1:26" ht="28.2" thickBot="1">
      <c r="A114" s="232" t="s">
        <v>794</v>
      </c>
      <c r="B114" s="28">
        <v>11</v>
      </c>
      <c r="C114" s="242">
        <f t="shared" si="7"/>
        <v>692000</v>
      </c>
      <c r="D114" s="242">
        <f t="shared" si="6"/>
        <v>715000</v>
      </c>
      <c r="E114" s="242">
        <f t="shared" si="6"/>
        <v>755000</v>
      </c>
      <c r="F114" s="242">
        <f t="shared" si="6"/>
        <v>779000</v>
      </c>
      <c r="G114" s="242">
        <f t="shared" si="6"/>
        <v>827000</v>
      </c>
      <c r="H114" s="242">
        <f t="shared" si="6"/>
        <v>779000</v>
      </c>
      <c r="S114" s="333" t="s">
        <v>794</v>
      </c>
      <c r="T114" s="333" t="s">
        <v>768</v>
      </c>
      <c r="U114" s="431">
        <v>692</v>
      </c>
      <c r="V114" s="431">
        <v>715</v>
      </c>
      <c r="W114" s="431">
        <v>755</v>
      </c>
      <c r="X114" s="431">
        <v>779</v>
      </c>
      <c r="Y114" s="431">
        <v>827</v>
      </c>
      <c r="Z114" s="431">
        <v>779</v>
      </c>
    </row>
    <row r="115" spans="1:26" ht="28.2" thickBot="1">
      <c r="A115" s="232" t="s">
        <v>795</v>
      </c>
      <c r="B115" s="28">
        <v>12</v>
      </c>
      <c r="C115" s="242">
        <f>U115*1000</f>
        <v>700000</v>
      </c>
      <c r="D115" s="242">
        <f t="shared" si="6"/>
        <v>707000</v>
      </c>
      <c r="E115" s="242">
        <f t="shared" si="6"/>
        <v>747000</v>
      </c>
      <c r="F115" s="242">
        <f t="shared" si="6"/>
        <v>851000</v>
      </c>
      <c r="G115" s="242">
        <f t="shared" si="6"/>
        <v>779000</v>
      </c>
      <c r="H115" s="242">
        <f t="shared" si="6"/>
        <v>755000</v>
      </c>
      <c r="S115" s="333" t="s">
        <v>795</v>
      </c>
      <c r="T115" s="333" t="s">
        <v>891</v>
      </c>
      <c r="U115" s="431">
        <v>700</v>
      </c>
      <c r="V115" s="431">
        <v>707</v>
      </c>
      <c r="W115" s="431">
        <v>747</v>
      </c>
      <c r="X115" s="431">
        <v>851</v>
      </c>
      <c r="Y115" s="431">
        <v>779</v>
      </c>
      <c r="Z115" s="431">
        <v>755</v>
      </c>
    </row>
    <row r="116" spans="1:26" ht="42" thickBot="1">
      <c r="A116" s="232" t="s">
        <v>643</v>
      </c>
      <c r="B116" s="28">
        <v>13</v>
      </c>
      <c r="C116" s="242">
        <f>U116*1000</f>
        <v>692000</v>
      </c>
      <c r="D116" s="242">
        <f t="shared" si="6"/>
        <v>707000</v>
      </c>
      <c r="E116" s="242">
        <f t="shared" si="6"/>
        <v>755000</v>
      </c>
      <c r="F116" s="242">
        <f t="shared" si="6"/>
        <v>771000</v>
      </c>
      <c r="G116" s="242">
        <f t="shared" si="6"/>
        <v>787000</v>
      </c>
      <c r="H116" s="242">
        <f>Z116*1000</f>
        <v>755000</v>
      </c>
      <c r="S116" s="333" t="s">
        <v>643</v>
      </c>
      <c r="T116" s="333"/>
      <c r="U116" s="431">
        <v>692</v>
      </c>
      <c r="V116" s="431">
        <v>707</v>
      </c>
      <c r="W116" s="431">
        <v>755</v>
      </c>
      <c r="X116" s="431">
        <v>771</v>
      </c>
      <c r="Y116" s="431">
        <v>787</v>
      </c>
      <c r="Z116" s="431">
        <v>755</v>
      </c>
    </row>
    <row r="117" spans="1:26" ht="19.8">
      <c r="A117" s="238"/>
      <c r="B117" s="28">
        <v>14</v>
      </c>
      <c r="S117" s="429"/>
      <c r="T117" s="429"/>
      <c r="U117" s="429"/>
      <c r="V117" s="429"/>
      <c r="W117" s="429"/>
      <c r="X117" s="429"/>
      <c r="Y117" s="429"/>
      <c r="Z117" s="429"/>
    </row>
    <row r="118" spans="1:26" ht="20.399999999999999" thickBot="1">
      <c r="A118" s="238" t="s">
        <v>718</v>
      </c>
      <c r="B118" s="238" t="s">
        <v>719</v>
      </c>
      <c r="S118" s="331" t="s">
        <v>895</v>
      </c>
      <c r="T118"/>
      <c r="U118"/>
      <c r="V118"/>
      <c r="W118"/>
      <c r="X118"/>
      <c r="Y118"/>
      <c r="Z118"/>
    </row>
    <row r="119" spans="1:26" ht="83.4" thickBot="1">
      <c r="A119" s="237" t="s">
        <v>799</v>
      </c>
      <c r="B119" s="237" t="s">
        <v>800</v>
      </c>
      <c r="S119" s="432" t="s">
        <v>896</v>
      </c>
      <c r="T119" s="432"/>
      <c r="U119" s="432" t="s">
        <v>894</v>
      </c>
      <c r="V119" s="432"/>
      <c r="W119" s="432"/>
      <c r="X119" s="432"/>
      <c r="Y119" s="432"/>
      <c r="Z119" s="432"/>
    </row>
    <row r="120" spans="1:26" ht="23.1" customHeight="1" thickBot="1">
      <c r="A120" s="846" t="s">
        <v>801</v>
      </c>
      <c r="B120" s="847"/>
      <c r="C120" s="846" t="s">
        <v>778</v>
      </c>
      <c r="D120" s="850"/>
      <c r="E120" s="850"/>
      <c r="F120" s="850"/>
      <c r="G120" s="850"/>
      <c r="H120" s="847"/>
      <c r="S120" s="424" t="s">
        <v>897</v>
      </c>
      <c r="T120" s="424"/>
      <c r="U120" s="424"/>
      <c r="V120" s="424"/>
      <c r="W120" s="424"/>
      <c r="X120" s="424"/>
      <c r="Y120" s="424"/>
      <c r="Z120" s="424"/>
    </row>
    <row r="121" spans="1:26" ht="23.1" customHeight="1" thickBot="1">
      <c r="A121" s="848" t="s">
        <v>802</v>
      </c>
      <c r="B121" s="849"/>
      <c r="C121" s="848"/>
      <c r="D121" s="851"/>
      <c r="E121" s="851"/>
      <c r="F121" s="851"/>
      <c r="G121" s="851"/>
      <c r="H121" s="849"/>
      <c r="S121" s="423" t="s">
        <v>605</v>
      </c>
      <c r="T121" s="423" t="s">
        <v>723</v>
      </c>
      <c r="U121" s="423" t="s">
        <v>881</v>
      </c>
      <c r="V121" s="423" t="s">
        <v>882</v>
      </c>
      <c r="W121" s="423" t="s">
        <v>781</v>
      </c>
      <c r="X121" s="423" t="s">
        <v>782</v>
      </c>
      <c r="Y121" s="423" t="s">
        <v>883</v>
      </c>
      <c r="Z121" s="423" t="s">
        <v>608</v>
      </c>
    </row>
    <row r="122" spans="1:26" ht="35.4" thickBot="1">
      <c r="A122" s="243" t="s">
        <v>605</v>
      </c>
      <c r="B122" s="233" t="s">
        <v>723</v>
      </c>
      <c r="C122" s="233" t="s">
        <v>779</v>
      </c>
      <c r="D122" s="233" t="s">
        <v>780</v>
      </c>
      <c r="E122" s="233" t="s">
        <v>781</v>
      </c>
      <c r="F122" s="233" t="s">
        <v>782</v>
      </c>
      <c r="G122" s="233" t="s">
        <v>789</v>
      </c>
      <c r="H122" s="233" t="s">
        <v>608</v>
      </c>
      <c r="S122" s="333" t="s">
        <v>785</v>
      </c>
      <c r="T122" s="333" t="s">
        <v>884</v>
      </c>
      <c r="U122" s="431">
        <v>68</v>
      </c>
      <c r="V122" s="431">
        <v>74</v>
      </c>
      <c r="W122" s="431">
        <v>68</v>
      </c>
      <c r="X122" s="431">
        <v>80</v>
      </c>
      <c r="Y122" s="431">
        <v>100</v>
      </c>
      <c r="Z122" s="431">
        <v>91</v>
      </c>
    </row>
    <row r="123" spans="1:26" ht="14.4" thickBot="1">
      <c r="A123" s="232" t="s">
        <v>785</v>
      </c>
      <c r="B123" s="28">
        <v>1</v>
      </c>
      <c r="C123" s="242">
        <f>U122*1000</f>
        <v>68000</v>
      </c>
      <c r="D123" s="242">
        <f t="shared" ref="D123:H135" si="8">V122*1000</f>
        <v>74000</v>
      </c>
      <c r="E123" s="242">
        <f t="shared" si="8"/>
        <v>68000</v>
      </c>
      <c r="F123" s="242">
        <f t="shared" si="8"/>
        <v>80000</v>
      </c>
      <c r="G123" s="242">
        <f t="shared" si="8"/>
        <v>100000</v>
      </c>
      <c r="H123" s="242">
        <f t="shared" si="8"/>
        <v>91000</v>
      </c>
      <c r="S123" s="333" t="s">
        <v>786</v>
      </c>
      <c r="T123" s="333" t="s">
        <v>654</v>
      </c>
      <c r="U123" s="431">
        <v>68</v>
      </c>
      <c r="V123" s="431">
        <v>68</v>
      </c>
      <c r="W123" s="431">
        <v>71</v>
      </c>
      <c r="X123" s="431">
        <v>74</v>
      </c>
      <c r="Y123" s="431">
        <v>71</v>
      </c>
      <c r="Z123" s="431">
        <v>71</v>
      </c>
    </row>
    <row r="124" spans="1:26" ht="42" thickBot="1">
      <c r="A124" s="232" t="s">
        <v>786</v>
      </c>
      <c r="B124" s="28">
        <v>2</v>
      </c>
      <c r="C124" s="242">
        <f t="shared" ref="C124:C135" si="9">U123*1000</f>
        <v>68000</v>
      </c>
      <c r="D124" s="242">
        <f t="shared" si="8"/>
        <v>68000</v>
      </c>
      <c r="E124" s="242">
        <f t="shared" si="8"/>
        <v>71000</v>
      </c>
      <c r="F124" s="242">
        <f t="shared" si="8"/>
        <v>74000</v>
      </c>
      <c r="G124" s="242">
        <f t="shared" si="8"/>
        <v>71000</v>
      </c>
      <c r="H124" s="242">
        <f t="shared" si="8"/>
        <v>71000</v>
      </c>
      <c r="J124" s="241">
        <f ca="1">IF(I125=0,0,OFFSET(B122,$J$87,$M$87))</f>
        <v>0</v>
      </c>
      <c r="S124" s="333" t="s">
        <v>606</v>
      </c>
      <c r="T124" s="333" t="s">
        <v>885</v>
      </c>
      <c r="U124" s="431">
        <v>74</v>
      </c>
      <c r="V124" s="431">
        <v>68</v>
      </c>
      <c r="W124" s="431">
        <v>85</v>
      </c>
      <c r="X124" s="431">
        <v>74</v>
      </c>
      <c r="Y124" s="431">
        <v>80</v>
      </c>
      <c r="Z124" s="431">
        <v>77</v>
      </c>
    </row>
    <row r="125" spans="1:26" ht="42" thickBot="1">
      <c r="A125" s="232" t="s">
        <v>606</v>
      </c>
      <c r="B125" s="28">
        <v>3</v>
      </c>
      <c r="C125" s="242">
        <f t="shared" si="9"/>
        <v>74000</v>
      </c>
      <c r="D125" s="242">
        <f t="shared" si="8"/>
        <v>68000</v>
      </c>
      <c r="E125" s="242">
        <f t="shared" si="8"/>
        <v>85000</v>
      </c>
      <c r="F125" s="242">
        <f t="shared" si="8"/>
        <v>74000</v>
      </c>
      <c r="G125" s="242">
        <f t="shared" si="8"/>
        <v>80000</v>
      </c>
      <c r="H125" s="242">
        <f t="shared" si="8"/>
        <v>77000</v>
      </c>
      <c r="I125" s="28">
        <f>I89</f>
        <v>0</v>
      </c>
      <c r="S125" s="333" t="s">
        <v>787</v>
      </c>
      <c r="T125" s="333" t="s">
        <v>733</v>
      </c>
      <c r="U125" s="431">
        <v>68</v>
      </c>
      <c r="V125" s="431">
        <v>68</v>
      </c>
      <c r="W125" s="431">
        <v>80</v>
      </c>
      <c r="X125" s="431">
        <v>77</v>
      </c>
      <c r="Y125" s="431">
        <v>80</v>
      </c>
      <c r="Z125" s="431">
        <v>74</v>
      </c>
    </row>
    <row r="126" spans="1:26" ht="34.799999999999997" thickBot="1">
      <c r="A126" s="232" t="s">
        <v>787</v>
      </c>
      <c r="B126" s="28">
        <v>4</v>
      </c>
      <c r="C126" s="242">
        <f t="shared" si="9"/>
        <v>68000</v>
      </c>
      <c r="D126" s="242">
        <f t="shared" si="8"/>
        <v>68000</v>
      </c>
      <c r="E126" s="242">
        <f t="shared" si="8"/>
        <v>80000</v>
      </c>
      <c r="F126" s="242">
        <f t="shared" si="8"/>
        <v>77000</v>
      </c>
      <c r="G126" s="242">
        <f t="shared" si="8"/>
        <v>80000</v>
      </c>
      <c r="H126" s="242">
        <f t="shared" si="8"/>
        <v>74000</v>
      </c>
      <c r="S126" s="333" t="s">
        <v>788</v>
      </c>
      <c r="T126" s="333" t="s">
        <v>735</v>
      </c>
      <c r="U126" s="431">
        <v>65</v>
      </c>
      <c r="V126" s="431">
        <v>74</v>
      </c>
      <c r="W126" s="431">
        <v>74</v>
      </c>
      <c r="X126" s="431">
        <v>71</v>
      </c>
      <c r="Y126" s="431">
        <v>74</v>
      </c>
      <c r="Z126" s="431">
        <v>74</v>
      </c>
    </row>
    <row r="127" spans="1:26" ht="42" thickBot="1">
      <c r="A127" s="232" t="s">
        <v>788</v>
      </c>
      <c r="B127" s="28">
        <v>5</v>
      </c>
      <c r="C127" s="242">
        <f t="shared" si="9"/>
        <v>65000</v>
      </c>
      <c r="D127" s="242">
        <f t="shared" si="8"/>
        <v>74000</v>
      </c>
      <c r="E127" s="242">
        <f t="shared" si="8"/>
        <v>74000</v>
      </c>
      <c r="F127" s="242">
        <f t="shared" si="8"/>
        <v>71000</v>
      </c>
      <c r="G127" s="242">
        <f t="shared" si="8"/>
        <v>74000</v>
      </c>
      <c r="H127" s="242">
        <f t="shared" si="8"/>
        <v>74000</v>
      </c>
      <c r="S127" s="333" t="s">
        <v>790</v>
      </c>
      <c r="T127" s="333" t="s">
        <v>886</v>
      </c>
      <c r="U127" s="431">
        <v>68</v>
      </c>
      <c r="V127" s="431">
        <v>68</v>
      </c>
      <c r="W127" s="431">
        <v>77</v>
      </c>
      <c r="X127" s="431">
        <v>68</v>
      </c>
      <c r="Y127" s="431">
        <v>88</v>
      </c>
      <c r="Z127" s="431">
        <v>74</v>
      </c>
    </row>
    <row r="128" spans="1:26" ht="28.2" thickBot="1">
      <c r="A128" s="232" t="s">
        <v>790</v>
      </c>
      <c r="B128" s="28">
        <v>6</v>
      </c>
      <c r="C128" s="242">
        <f t="shared" si="9"/>
        <v>68000</v>
      </c>
      <c r="D128" s="242">
        <f t="shared" si="8"/>
        <v>68000</v>
      </c>
      <c r="E128" s="242">
        <f t="shared" si="8"/>
        <v>77000</v>
      </c>
      <c r="F128" s="242">
        <f t="shared" si="8"/>
        <v>68000</v>
      </c>
      <c r="G128" s="242">
        <f t="shared" si="8"/>
        <v>88000</v>
      </c>
      <c r="H128" s="242">
        <f t="shared" si="8"/>
        <v>74000</v>
      </c>
      <c r="S128" s="333" t="s">
        <v>620</v>
      </c>
      <c r="T128" s="333" t="s">
        <v>887</v>
      </c>
      <c r="U128" s="431">
        <v>103</v>
      </c>
      <c r="V128" s="431">
        <v>88</v>
      </c>
      <c r="W128" s="431">
        <v>68</v>
      </c>
      <c r="X128" s="431">
        <v>68</v>
      </c>
      <c r="Y128" s="431">
        <v>68</v>
      </c>
      <c r="Z128" s="431">
        <v>71</v>
      </c>
    </row>
    <row r="129" spans="1:26" ht="28.2" thickBot="1">
      <c r="A129" s="232" t="s">
        <v>620</v>
      </c>
      <c r="B129" s="28">
        <v>7</v>
      </c>
      <c r="C129" s="242">
        <f t="shared" si="9"/>
        <v>103000</v>
      </c>
      <c r="D129" s="242">
        <f t="shared" si="8"/>
        <v>88000</v>
      </c>
      <c r="E129" s="242">
        <f t="shared" si="8"/>
        <v>68000</v>
      </c>
      <c r="F129" s="242">
        <f t="shared" si="8"/>
        <v>68000</v>
      </c>
      <c r="G129" s="242">
        <f t="shared" si="8"/>
        <v>68000</v>
      </c>
      <c r="H129" s="242">
        <f t="shared" si="8"/>
        <v>71000</v>
      </c>
      <c r="S129" s="333" t="s">
        <v>791</v>
      </c>
      <c r="T129" s="333" t="s">
        <v>888</v>
      </c>
      <c r="U129" s="431">
        <v>68</v>
      </c>
      <c r="V129" s="431">
        <v>71</v>
      </c>
      <c r="W129" s="431">
        <v>80</v>
      </c>
      <c r="X129" s="431">
        <v>88</v>
      </c>
      <c r="Y129" s="431">
        <v>85</v>
      </c>
      <c r="Z129" s="431">
        <v>85</v>
      </c>
    </row>
    <row r="130" spans="1:26" ht="28.2" thickBot="1">
      <c r="A130" s="232" t="s">
        <v>791</v>
      </c>
      <c r="B130" s="28">
        <v>8</v>
      </c>
      <c r="C130" s="242">
        <f t="shared" si="9"/>
        <v>68000</v>
      </c>
      <c r="D130" s="242">
        <f t="shared" si="8"/>
        <v>71000</v>
      </c>
      <c r="E130" s="242">
        <f t="shared" si="8"/>
        <v>80000</v>
      </c>
      <c r="F130" s="242">
        <f t="shared" si="8"/>
        <v>88000</v>
      </c>
      <c r="G130" s="242">
        <f t="shared" si="8"/>
        <v>85000</v>
      </c>
      <c r="H130" s="242">
        <f t="shared" si="8"/>
        <v>85000</v>
      </c>
      <c r="S130" s="333" t="s">
        <v>792</v>
      </c>
      <c r="T130" s="333" t="s">
        <v>889</v>
      </c>
      <c r="U130" s="431">
        <v>68</v>
      </c>
      <c r="V130" s="431">
        <v>68</v>
      </c>
      <c r="W130" s="431">
        <v>100</v>
      </c>
      <c r="X130" s="431">
        <v>85</v>
      </c>
      <c r="Y130" s="431">
        <v>83</v>
      </c>
      <c r="Z130" s="431">
        <v>83</v>
      </c>
    </row>
    <row r="131" spans="1:26" ht="42" thickBot="1">
      <c r="A131" s="232" t="s">
        <v>792</v>
      </c>
      <c r="B131" s="28">
        <v>9</v>
      </c>
      <c r="C131" s="242">
        <f t="shared" si="9"/>
        <v>68000</v>
      </c>
      <c r="D131" s="242">
        <f t="shared" si="8"/>
        <v>68000</v>
      </c>
      <c r="E131" s="242">
        <f t="shared" si="8"/>
        <v>100000</v>
      </c>
      <c r="F131" s="242">
        <f t="shared" si="8"/>
        <v>85000</v>
      </c>
      <c r="G131" s="242">
        <f t="shared" si="8"/>
        <v>83000</v>
      </c>
      <c r="H131" s="242">
        <f t="shared" si="8"/>
        <v>83000</v>
      </c>
      <c r="S131" s="333" t="s">
        <v>793</v>
      </c>
      <c r="T131" s="333" t="s">
        <v>890</v>
      </c>
      <c r="U131" s="431">
        <v>65</v>
      </c>
      <c r="V131" s="431">
        <v>68</v>
      </c>
      <c r="W131" s="431">
        <v>77</v>
      </c>
      <c r="X131" s="431">
        <v>74</v>
      </c>
      <c r="Y131" s="431">
        <v>85</v>
      </c>
      <c r="Z131" s="431">
        <v>74</v>
      </c>
    </row>
    <row r="132" spans="1:26" ht="34.799999999999997" thickBot="1">
      <c r="A132" s="232" t="s">
        <v>793</v>
      </c>
      <c r="B132" s="28">
        <v>10</v>
      </c>
      <c r="C132" s="242">
        <f t="shared" si="9"/>
        <v>65000</v>
      </c>
      <c r="D132" s="242">
        <f t="shared" si="8"/>
        <v>68000</v>
      </c>
      <c r="E132" s="242">
        <f t="shared" si="8"/>
        <v>77000</v>
      </c>
      <c r="F132" s="242">
        <f t="shared" si="8"/>
        <v>74000</v>
      </c>
      <c r="G132" s="242">
        <f t="shared" si="8"/>
        <v>85000</v>
      </c>
      <c r="H132" s="242">
        <f t="shared" si="8"/>
        <v>74000</v>
      </c>
      <c r="S132" s="333" t="s">
        <v>794</v>
      </c>
      <c r="T132" s="333" t="s">
        <v>768</v>
      </c>
      <c r="U132" s="431">
        <v>68</v>
      </c>
      <c r="V132" s="431">
        <v>71</v>
      </c>
      <c r="W132" s="431">
        <v>88</v>
      </c>
      <c r="X132" s="431">
        <v>85</v>
      </c>
      <c r="Y132" s="431">
        <v>88</v>
      </c>
      <c r="Z132" s="431">
        <v>88</v>
      </c>
    </row>
    <row r="133" spans="1:26" ht="28.2" thickBot="1">
      <c r="A133" s="232" t="s">
        <v>794</v>
      </c>
      <c r="B133" s="28">
        <v>11</v>
      </c>
      <c r="C133" s="242">
        <f t="shared" si="9"/>
        <v>68000</v>
      </c>
      <c r="D133" s="242">
        <f t="shared" si="8"/>
        <v>71000</v>
      </c>
      <c r="E133" s="242">
        <f t="shared" si="8"/>
        <v>88000</v>
      </c>
      <c r="F133" s="242">
        <f t="shared" si="8"/>
        <v>85000</v>
      </c>
      <c r="G133" s="242">
        <f t="shared" si="8"/>
        <v>88000</v>
      </c>
      <c r="H133" s="242">
        <f t="shared" si="8"/>
        <v>88000</v>
      </c>
      <c r="S133" s="333" t="s">
        <v>795</v>
      </c>
      <c r="T133" s="333" t="s">
        <v>891</v>
      </c>
      <c r="U133" s="431">
        <v>68</v>
      </c>
      <c r="V133" s="431">
        <v>68</v>
      </c>
      <c r="W133" s="431">
        <v>80</v>
      </c>
      <c r="X133" s="431">
        <v>77</v>
      </c>
      <c r="Y133" s="431">
        <v>85</v>
      </c>
      <c r="Z133" s="431">
        <v>88</v>
      </c>
    </row>
    <row r="134" spans="1:26" ht="42" thickBot="1">
      <c r="A134" s="232" t="s">
        <v>795</v>
      </c>
      <c r="B134" s="28">
        <v>12</v>
      </c>
      <c r="C134" s="242">
        <f t="shared" si="9"/>
        <v>68000</v>
      </c>
      <c r="D134" s="242">
        <f t="shared" si="8"/>
        <v>68000</v>
      </c>
      <c r="E134" s="242">
        <f t="shared" si="8"/>
        <v>80000</v>
      </c>
      <c r="F134" s="242">
        <f t="shared" si="8"/>
        <v>77000</v>
      </c>
      <c r="G134" s="242">
        <f t="shared" si="8"/>
        <v>85000</v>
      </c>
      <c r="H134" s="242">
        <f t="shared" si="8"/>
        <v>88000</v>
      </c>
      <c r="S134" s="333" t="s">
        <v>643</v>
      </c>
      <c r="T134" s="333"/>
      <c r="U134" s="431">
        <v>68</v>
      </c>
      <c r="V134" s="431">
        <v>68</v>
      </c>
      <c r="W134" s="431">
        <v>80</v>
      </c>
      <c r="X134" s="431">
        <v>77</v>
      </c>
      <c r="Y134" s="431">
        <v>83</v>
      </c>
      <c r="Z134" s="431">
        <v>80</v>
      </c>
    </row>
    <row r="135" spans="1:26" ht="34.799999999999997" thickBot="1">
      <c r="A135" s="232" t="s">
        <v>643</v>
      </c>
      <c r="B135" s="28">
        <v>13</v>
      </c>
      <c r="C135" s="242">
        <f t="shared" si="9"/>
        <v>68000</v>
      </c>
      <c r="D135" s="242">
        <f t="shared" si="8"/>
        <v>68000</v>
      </c>
      <c r="E135" s="242">
        <f t="shared" si="8"/>
        <v>80000</v>
      </c>
      <c r="F135" s="242">
        <f t="shared" si="8"/>
        <v>77000</v>
      </c>
      <c r="G135" s="242">
        <f t="shared" si="8"/>
        <v>83000</v>
      </c>
      <c r="H135" s="242">
        <f t="shared" si="8"/>
        <v>80000</v>
      </c>
      <c r="S135" s="426"/>
      <c r="T135" s="426"/>
      <c r="U135" s="426"/>
      <c r="V135" s="426"/>
      <c r="W135" s="426"/>
      <c r="X135" s="426"/>
      <c r="Y135" s="426"/>
      <c r="Z135" s="426"/>
    </row>
    <row r="136" spans="1:26" ht="16.2" thickBot="1">
      <c r="A136" s="240"/>
      <c r="B136" s="28">
        <v>14</v>
      </c>
      <c r="S136" s="331" t="s">
        <v>898</v>
      </c>
      <c r="T136"/>
      <c r="U136"/>
      <c r="V136"/>
      <c r="W136"/>
      <c r="X136"/>
      <c r="Y136"/>
      <c r="Z136"/>
    </row>
    <row r="137" spans="1:26" ht="83.4" thickBot="1">
      <c r="A137" s="237" t="s">
        <v>803</v>
      </c>
      <c r="B137" s="237" t="s">
        <v>804</v>
      </c>
      <c r="S137" s="430" t="s">
        <v>899</v>
      </c>
      <c r="T137" s="430"/>
      <c r="U137" s="430" t="s">
        <v>894</v>
      </c>
      <c r="V137" s="430"/>
      <c r="W137" s="430"/>
      <c r="X137" s="430"/>
      <c r="Y137" s="430"/>
      <c r="Z137" s="430"/>
    </row>
    <row r="138" spans="1:26" ht="34.35" customHeight="1" thickBot="1">
      <c r="A138" s="843" t="s">
        <v>805</v>
      </c>
      <c r="B138" s="844"/>
      <c r="C138" s="843" t="s">
        <v>908</v>
      </c>
      <c r="D138" s="845"/>
      <c r="E138" s="845"/>
      <c r="F138" s="845"/>
      <c r="G138" s="845"/>
      <c r="H138" s="844"/>
      <c r="S138" s="427" t="s">
        <v>605</v>
      </c>
      <c r="T138" s="427" t="s">
        <v>723</v>
      </c>
      <c r="U138" s="427" t="s">
        <v>881</v>
      </c>
      <c r="V138" s="427" t="s">
        <v>882</v>
      </c>
      <c r="W138" s="427" t="s">
        <v>781</v>
      </c>
      <c r="X138" s="427" t="s">
        <v>782</v>
      </c>
      <c r="Y138" s="427" t="s">
        <v>883</v>
      </c>
      <c r="Z138" s="427" t="s">
        <v>608</v>
      </c>
    </row>
    <row r="139" spans="1:26" ht="35.4" thickBot="1">
      <c r="A139" s="243" t="s">
        <v>605</v>
      </c>
      <c r="B139" s="233" t="s">
        <v>723</v>
      </c>
      <c r="C139" s="233" t="s">
        <v>779</v>
      </c>
      <c r="D139" s="233" t="s">
        <v>780</v>
      </c>
      <c r="E139" s="233" t="s">
        <v>781</v>
      </c>
      <c r="F139" s="233" t="s">
        <v>782</v>
      </c>
      <c r="G139" s="233" t="s">
        <v>789</v>
      </c>
      <c r="H139" s="233" t="s">
        <v>608</v>
      </c>
      <c r="S139" s="333" t="s">
        <v>785</v>
      </c>
      <c r="T139" s="333" t="s">
        <v>884</v>
      </c>
      <c r="U139" s="433">
        <v>1.4</v>
      </c>
      <c r="V139" s="433">
        <v>1.5</v>
      </c>
      <c r="W139" s="433">
        <v>6.3</v>
      </c>
      <c r="X139" s="433">
        <v>8.6999999999999993</v>
      </c>
      <c r="Y139" s="433">
        <v>3</v>
      </c>
      <c r="Z139" s="433">
        <v>3.5</v>
      </c>
    </row>
    <row r="140" spans="1:26" ht="14.4" thickBot="1">
      <c r="A140" s="232" t="s">
        <v>785</v>
      </c>
      <c r="B140" s="28">
        <v>1</v>
      </c>
      <c r="C140" s="242">
        <f>U139*1000</f>
        <v>1400</v>
      </c>
      <c r="D140" s="242">
        <f t="shared" ref="D140:H152" si="10">V139*1000</f>
        <v>1500</v>
      </c>
      <c r="E140" s="242">
        <f t="shared" si="10"/>
        <v>6300</v>
      </c>
      <c r="F140" s="242">
        <f t="shared" si="10"/>
        <v>8700</v>
      </c>
      <c r="G140" s="242">
        <f t="shared" si="10"/>
        <v>3000</v>
      </c>
      <c r="H140" s="242">
        <f t="shared" si="10"/>
        <v>3500</v>
      </c>
      <c r="S140" s="333" t="s">
        <v>786</v>
      </c>
      <c r="T140" s="333" t="s">
        <v>654</v>
      </c>
      <c r="U140" s="433">
        <v>1.4</v>
      </c>
      <c r="V140" s="433">
        <v>1.5</v>
      </c>
      <c r="W140" s="433">
        <v>7.3</v>
      </c>
      <c r="X140" s="433">
        <v>8.6</v>
      </c>
      <c r="Y140" s="433">
        <v>2.9</v>
      </c>
      <c r="Z140" s="433">
        <v>3.7</v>
      </c>
    </row>
    <row r="141" spans="1:26" ht="42" thickBot="1">
      <c r="A141" s="232" t="s">
        <v>786</v>
      </c>
      <c r="B141" s="28">
        <v>2</v>
      </c>
      <c r="C141" s="242">
        <f t="shared" ref="C141:C152" si="11">U140*1000</f>
        <v>1400</v>
      </c>
      <c r="D141" s="242">
        <f t="shared" si="10"/>
        <v>1500</v>
      </c>
      <c r="E141" s="242">
        <f t="shared" si="10"/>
        <v>7300</v>
      </c>
      <c r="F141" s="242">
        <f t="shared" si="10"/>
        <v>8600</v>
      </c>
      <c r="G141" s="242">
        <f t="shared" si="10"/>
        <v>2900</v>
      </c>
      <c r="H141" s="242">
        <f t="shared" si="10"/>
        <v>3700</v>
      </c>
      <c r="J141" s="241">
        <f ca="1">IF(I142=0,0,OFFSET(B139,$J$87,$M$87))</f>
        <v>0</v>
      </c>
      <c r="S141" s="333" t="s">
        <v>606</v>
      </c>
      <c r="T141" s="333" t="s">
        <v>885</v>
      </c>
      <c r="U141" s="433">
        <v>1.3</v>
      </c>
      <c r="V141" s="433">
        <v>2</v>
      </c>
      <c r="W141" s="433">
        <v>3</v>
      </c>
      <c r="X141" s="433">
        <v>7.7</v>
      </c>
      <c r="Y141" s="433">
        <v>1.9</v>
      </c>
      <c r="Z141" s="433">
        <v>2</v>
      </c>
    </row>
    <row r="142" spans="1:26" ht="42" thickBot="1">
      <c r="A142" s="232" t="s">
        <v>606</v>
      </c>
      <c r="B142" s="28">
        <v>3</v>
      </c>
      <c r="C142" s="242">
        <f t="shared" si="11"/>
        <v>1300</v>
      </c>
      <c r="D142" s="242">
        <f t="shared" si="10"/>
        <v>2000</v>
      </c>
      <c r="E142" s="242">
        <f t="shared" si="10"/>
        <v>3000</v>
      </c>
      <c r="F142" s="242">
        <f t="shared" si="10"/>
        <v>7700</v>
      </c>
      <c r="G142" s="242">
        <f t="shared" si="10"/>
        <v>1900</v>
      </c>
      <c r="H142" s="242">
        <f t="shared" si="10"/>
        <v>2000</v>
      </c>
      <c r="I142" s="28">
        <f>I89</f>
        <v>0</v>
      </c>
      <c r="S142" s="333" t="s">
        <v>787</v>
      </c>
      <c r="T142" s="333" t="s">
        <v>733</v>
      </c>
      <c r="U142" s="433">
        <v>1.1000000000000001</v>
      </c>
      <c r="V142" s="433">
        <v>1.7</v>
      </c>
      <c r="W142" s="433">
        <v>1.5</v>
      </c>
      <c r="X142" s="433">
        <v>8</v>
      </c>
      <c r="Y142" s="433">
        <v>2.2000000000000002</v>
      </c>
      <c r="Z142" s="433">
        <v>2.4</v>
      </c>
    </row>
    <row r="143" spans="1:26" ht="34.799999999999997" thickBot="1">
      <c r="A143" s="232" t="s">
        <v>787</v>
      </c>
      <c r="B143" s="28">
        <v>4</v>
      </c>
      <c r="C143" s="242">
        <f t="shared" si="11"/>
        <v>1100</v>
      </c>
      <c r="D143" s="242">
        <f t="shared" si="10"/>
        <v>1700</v>
      </c>
      <c r="E143" s="242">
        <f t="shared" si="10"/>
        <v>1500</v>
      </c>
      <c r="F143" s="242">
        <f t="shared" si="10"/>
        <v>8000</v>
      </c>
      <c r="G143" s="242">
        <f t="shared" si="10"/>
        <v>2200</v>
      </c>
      <c r="H143" s="242">
        <f t="shared" si="10"/>
        <v>2400</v>
      </c>
      <c r="S143" s="333" t="s">
        <v>788</v>
      </c>
      <c r="T143" s="333" t="s">
        <v>735</v>
      </c>
      <c r="U143" s="433">
        <v>1.4</v>
      </c>
      <c r="V143" s="433">
        <v>1.5</v>
      </c>
      <c r="W143" s="433">
        <v>8</v>
      </c>
      <c r="X143" s="433">
        <v>7.8</v>
      </c>
      <c r="Y143" s="433">
        <v>2.2999999999999998</v>
      </c>
      <c r="Z143" s="433">
        <v>3.7</v>
      </c>
    </row>
    <row r="144" spans="1:26" ht="42" thickBot="1">
      <c r="A144" s="232" t="s">
        <v>788</v>
      </c>
      <c r="B144" s="28">
        <v>5</v>
      </c>
      <c r="C144" s="242">
        <f t="shared" si="11"/>
        <v>1400</v>
      </c>
      <c r="D144" s="242">
        <f t="shared" si="10"/>
        <v>1500</v>
      </c>
      <c r="E144" s="242">
        <f t="shared" si="10"/>
        <v>8000</v>
      </c>
      <c r="F144" s="242">
        <f t="shared" si="10"/>
        <v>7800</v>
      </c>
      <c r="G144" s="242">
        <f t="shared" si="10"/>
        <v>2300</v>
      </c>
      <c r="H144" s="242">
        <f t="shared" si="10"/>
        <v>3700</v>
      </c>
      <c r="S144" s="333" t="s">
        <v>790</v>
      </c>
      <c r="T144" s="333" t="s">
        <v>886</v>
      </c>
      <c r="U144" s="433">
        <v>2.2000000000000002</v>
      </c>
      <c r="V144" s="433">
        <v>1.9</v>
      </c>
      <c r="W144" s="433">
        <v>4.5999999999999996</v>
      </c>
      <c r="X144" s="433">
        <v>8.8000000000000007</v>
      </c>
      <c r="Y144" s="433">
        <v>3.1</v>
      </c>
      <c r="Z144" s="433">
        <v>4.2</v>
      </c>
    </row>
    <row r="145" spans="1:26" ht="28.2" thickBot="1">
      <c r="A145" s="232" t="s">
        <v>790</v>
      </c>
      <c r="B145" s="28">
        <v>6</v>
      </c>
      <c r="C145" s="242">
        <f t="shared" si="11"/>
        <v>2200</v>
      </c>
      <c r="D145" s="242">
        <f t="shared" si="10"/>
        <v>1900</v>
      </c>
      <c r="E145" s="242">
        <f t="shared" si="10"/>
        <v>4600</v>
      </c>
      <c r="F145" s="242">
        <f t="shared" si="10"/>
        <v>8800</v>
      </c>
      <c r="G145" s="242">
        <f t="shared" si="10"/>
        <v>3100</v>
      </c>
      <c r="H145" s="242">
        <f t="shared" si="10"/>
        <v>4200</v>
      </c>
      <c r="S145" s="333" t="s">
        <v>620</v>
      </c>
      <c r="T145" s="333" t="s">
        <v>887</v>
      </c>
      <c r="U145" s="433">
        <v>0.8</v>
      </c>
      <c r="V145" s="433">
        <v>1.7</v>
      </c>
      <c r="W145" s="433">
        <v>0.3</v>
      </c>
      <c r="X145" s="433">
        <v>7.2</v>
      </c>
      <c r="Y145" s="433">
        <v>1.7</v>
      </c>
      <c r="Z145" s="433">
        <v>1.8</v>
      </c>
    </row>
    <row r="146" spans="1:26" ht="28.2" thickBot="1">
      <c r="A146" s="232" t="s">
        <v>620</v>
      </c>
      <c r="B146" s="28">
        <v>7</v>
      </c>
      <c r="C146" s="242">
        <f t="shared" si="11"/>
        <v>800</v>
      </c>
      <c r="D146" s="242">
        <f t="shared" si="10"/>
        <v>1700</v>
      </c>
      <c r="E146" s="242">
        <f t="shared" si="10"/>
        <v>300</v>
      </c>
      <c r="F146" s="242">
        <f t="shared" si="10"/>
        <v>7200</v>
      </c>
      <c r="G146" s="242">
        <f t="shared" si="10"/>
        <v>1700</v>
      </c>
      <c r="H146" s="242">
        <f t="shared" si="10"/>
        <v>1800</v>
      </c>
      <c r="S146" s="333" t="s">
        <v>791</v>
      </c>
      <c r="T146" s="333" t="s">
        <v>888</v>
      </c>
      <c r="U146" s="433">
        <v>2</v>
      </c>
      <c r="V146" s="433">
        <v>1.7</v>
      </c>
      <c r="W146" s="433">
        <v>3.7</v>
      </c>
      <c r="X146" s="433">
        <v>8.6</v>
      </c>
      <c r="Y146" s="433">
        <v>2.9</v>
      </c>
      <c r="Z146" s="433">
        <v>3.2</v>
      </c>
    </row>
    <row r="147" spans="1:26" ht="28.2" thickBot="1">
      <c r="A147" s="232" t="s">
        <v>791</v>
      </c>
      <c r="B147" s="28">
        <v>8</v>
      </c>
      <c r="C147" s="242">
        <f t="shared" si="11"/>
        <v>2000</v>
      </c>
      <c r="D147" s="242">
        <f t="shared" si="10"/>
        <v>1700</v>
      </c>
      <c r="E147" s="242">
        <f t="shared" si="10"/>
        <v>3700</v>
      </c>
      <c r="F147" s="242">
        <f t="shared" si="10"/>
        <v>8600</v>
      </c>
      <c r="G147" s="242">
        <f t="shared" si="10"/>
        <v>2900</v>
      </c>
      <c r="H147" s="242">
        <f t="shared" si="10"/>
        <v>3200</v>
      </c>
      <c r="S147" s="333" t="s">
        <v>792</v>
      </c>
      <c r="T147" s="333" t="s">
        <v>889</v>
      </c>
      <c r="U147" s="433">
        <v>1.8</v>
      </c>
      <c r="V147" s="433">
        <v>1.7</v>
      </c>
      <c r="W147" s="433">
        <v>5.0999999999999996</v>
      </c>
      <c r="X147" s="433">
        <v>8.6999999999999993</v>
      </c>
      <c r="Y147" s="433">
        <v>2.9</v>
      </c>
      <c r="Z147" s="433">
        <v>3.2</v>
      </c>
    </row>
    <row r="148" spans="1:26" ht="42" thickBot="1">
      <c r="A148" s="232" t="s">
        <v>792</v>
      </c>
      <c r="B148" s="28">
        <v>9</v>
      </c>
      <c r="C148" s="242">
        <f t="shared" si="11"/>
        <v>1800</v>
      </c>
      <c r="D148" s="242">
        <f t="shared" si="10"/>
        <v>1700</v>
      </c>
      <c r="E148" s="242">
        <f t="shared" si="10"/>
        <v>5100</v>
      </c>
      <c r="F148" s="242">
        <f t="shared" si="10"/>
        <v>8700</v>
      </c>
      <c r="G148" s="242">
        <f t="shared" si="10"/>
        <v>2900</v>
      </c>
      <c r="H148" s="242">
        <f t="shared" si="10"/>
        <v>3200</v>
      </c>
      <c r="S148" s="333" t="s">
        <v>793</v>
      </c>
      <c r="T148" s="333" t="s">
        <v>890</v>
      </c>
      <c r="U148" s="433">
        <v>1.5</v>
      </c>
      <c r="V148" s="433">
        <v>1.7</v>
      </c>
      <c r="W148" s="433">
        <v>4.4000000000000004</v>
      </c>
      <c r="X148" s="433">
        <v>8.6999999999999993</v>
      </c>
      <c r="Y148" s="433">
        <v>3</v>
      </c>
      <c r="Z148" s="433">
        <v>3.7</v>
      </c>
    </row>
    <row r="149" spans="1:26" ht="34.799999999999997" thickBot="1">
      <c r="A149" s="232" t="s">
        <v>793</v>
      </c>
      <c r="B149" s="28">
        <v>10</v>
      </c>
      <c r="C149" s="242">
        <f t="shared" si="11"/>
        <v>1500</v>
      </c>
      <c r="D149" s="242">
        <f t="shared" si="10"/>
        <v>1700</v>
      </c>
      <c r="E149" s="242">
        <f t="shared" si="10"/>
        <v>4400</v>
      </c>
      <c r="F149" s="242">
        <f t="shared" si="10"/>
        <v>8700</v>
      </c>
      <c r="G149" s="242">
        <f t="shared" si="10"/>
        <v>3000</v>
      </c>
      <c r="H149" s="242">
        <f t="shared" si="10"/>
        <v>3700</v>
      </c>
      <c r="S149" s="333" t="s">
        <v>794</v>
      </c>
      <c r="T149" s="333" t="s">
        <v>768</v>
      </c>
      <c r="U149" s="433">
        <v>1.4</v>
      </c>
      <c r="V149" s="433">
        <v>1.5</v>
      </c>
      <c r="W149" s="433">
        <v>5</v>
      </c>
      <c r="X149" s="433">
        <v>8.8000000000000007</v>
      </c>
      <c r="Y149" s="433">
        <v>2.9</v>
      </c>
      <c r="Z149" s="433">
        <v>3.1</v>
      </c>
    </row>
    <row r="150" spans="1:26" ht="28.2" thickBot="1">
      <c r="A150" s="232" t="s">
        <v>794</v>
      </c>
      <c r="B150" s="28">
        <v>11</v>
      </c>
      <c r="C150" s="242">
        <f t="shared" si="11"/>
        <v>1400</v>
      </c>
      <c r="D150" s="242">
        <f t="shared" si="10"/>
        <v>1500</v>
      </c>
      <c r="E150" s="242">
        <f t="shared" si="10"/>
        <v>5000</v>
      </c>
      <c r="F150" s="242">
        <f t="shared" si="10"/>
        <v>8800</v>
      </c>
      <c r="G150" s="242">
        <f t="shared" si="10"/>
        <v>2900</v>
      </c>
      <c r="H150" s="242">
        <f t="shared" si="10"/>
        <v>3100</v>
      </c>
      <c r="S150" s="333" t="s">
        <v>795</v>
      </c>
      <c r="T150" s="333" t="s">
        <v>891</v>
      </c>
      <c r="U150" s="433">
        <v>1.4</v>
      </c>
      <c r="V150" s="433">
        <v>1.7</v>
      </c>
      <c r="W150" s="433">
        <v>3.6</v>
      </c>
      <c r="X150" s="433">
        <v>8.6</v>
      </c>
      <c r="Y150" s="433">
        <v>2.9</v>
      </c>
      <c r="Z150" s="433">
        <v>3.2</v>
      </c>
    </row>
    <row r="151" spans="1:26" ht="42" thickBot="1">
      <c r="A151" s="232" t="s">
        <v>795</v>
      </c>
      <c r="B151" s="28">
        <v>12</v>
      </c>
      <c r="C151" s="242">
        <f t="shared" si="11"/>
        <v>1400</v>
      </c>
      <c r="D151" s="242">
        <f t="shared" si="10"/>
        <v>1700</v>
      </c>
      <c r="E151" s="242">
        <f t="shared" si="10"/>
        <v>3600</v>
      </c>
      <c r="F151" s="242">
        <f t="shared" si="10"/>
        <v>8600</v>
      </c>
      <c r="G151" s="242">
        <f t="shared" si="10"/>
        <v>2900</v>
      </c>
      <c r="H151" s="242">
        <f t="shared" si="10"/>
        <v>3200</v>
      </c>
      <c r="S151" s="333" t="s">
        <v>643</v>
      </c>
      <c r="T151" s="333"/>
      <c r="U151" s="433">
        <v>1.5</v>
      </c>
      <c r="V151" s="433">
        <v>1.7</v>
      </c>
      <c r="W151" s="433">
        <v>4.0999999999999996</v>
      </c>
      <c r="X151" s="433">
        <v>8.6</v>
      </c>
      <c r="Y151" s="433">
        <v>2.8</v>
      </c>
      <c r="Z151" s="433">
        <v>3.1</v>
      </c>
    </row>
    <row r="152" spans="1:26" ht="34.799999999999997" thickBot="1">
      <c r="A152" s="232" t="s">
        <v>643</v>
      </c>
      <c r="B152" s="28">
        <v>13</v>
      </c>
      <c r="C152" s="242">
        <f t="shared" si="11"/>
        <v>1500</v>
      </c>
      <c r="D152" s="242">
        <f t="shared" si="10"/>
        <v>1700</v>
      </c>
      <c r="E152" s="242">
        <f t="shared" si="10"/>
        <v>4100</v>
      </c>
      <c r="F152" s="242">
        <f t="shared" si="10"/>
        <v>8600</v>
      </c>
      <c r="G152" s="242">
        <f t="shared" si="10"/>
        <v>2800</v>
      </c>
      <c r="H152" s="242">
        <f t="shared" si="10"/>
        <v>3100</v>
      </c>
      <c r="S152" s="426"/>
      <c r="T152" s="426"/>
      <c r="U152" s="426"/>
      <c r="V152" s="426"/>
      <c r="W152" s="426"/>
      <c r="X152" s="426"/>
      <c r="Y152" s="426"/>
      <c r="Z152" s="426"/>
    </row>
    <row r="153" spans="1:26" ht="20.399999999999999" thickBot="1">
      <c r="A153" s="238"/>
      <c r="B153" s="28">
        <v>14</v>
      </c>
      <c r="S153" s="331" t="s">
        <v>900</v>
      </c>
      <c r="T153"/>
      <c r="U153"/>
      <c r="V153"/>
      <c r="W153"/>
      <c r="X153"/>
      <c r="Y153"/>
      <c r="Z153"/>
    </row>
    <row r="154" spans="1:26" ht="69.599999999999994" thickBot="1">
      <c r="A154" s="238" t="s">
        <v>718</v>
      </c>
      <c r="B154" s="238" t="s">
        <v>719</v>
      </c>
      <c r="S154" s="430" t="s">
        <v>901</v>
      </c>
      <c r="T154" s="430"/>
      <c r="U154" s="430" t="s">
        <v>880</v>
      </c>
      <c r="V154" s="430"/>
      <c r="W154" s="430"/>
      <c r="X154" s="430"/>
      <c r="Y154" s="430"/>
      <c r="Z154" s="430"/>
    </row>
    <row r="155" spans="1:26" ht="42" thickBot="1">
      <c r="A155" s="237" t="s">
        <v>806</v>
      </c>
      <c r="B155" s="237" t="s">
        <v>807</v>
      </c>
      <c r="S155" s="427" t="s">
        <v>605</v>
      </c>
      <c r="T155" s="427" t="s">
        <v>723</v>
      </c>
      <c r="U155" s="427" t="s">
        <v>881</v>
      </c>
      <c r="V155" s="427" t="s">
        <v>882</v>
      </c>
      <c r="W155" s="427" t="s">
        <v>781</v>
      </c>
      <c r="X155" s="427" t="s">
        <v>782</v>
      </c>
      <c r="Y155" s="427" t="s">
        <v>883</v>
      </c>
      <c r="Z155" s="427" t="s">
        <v>608</v>
      </c>
    </row>
    <row r="156" spans="1:26" ht="34.35" customHeight="1" thickBot="1">
      <c r="A156" s="843" t="s">
        <v>808</v>
      </c>
      <c r="B156" s="844"/>
      <c r="C156" s="843" t="s">
        <v>778</v>
      </c>
      <c r="D156" s="845"/>
      <c r="E156" s="845"/>
      <c r="F156" s="845"/>
      <c r="G156" s="845"/>
      <c r="H156" s="844"/>
      <c r="S156" s="333" t="s">
        <v>785</v>
      </c>
      <c r="T156" s="333" t="s">
        <v>884</v>
      </c>
      <c r="U156" s="428">
        <v>13.6</v>
      </c>
      <c r="V156" s="428">
        <v>14.4</v>
      </c>
      <c r="W156" s="428">
        <v>19.899999999999999</v>
      </c>
      <c r="X156" s="428">
        <v>15.5</v>
      </c>
      <c r="Y156" s="428">
        <v>17.5</v>
      </c>
      <c r="Z156" s="428">
        <v>16.600000000000001</v>
      </c>
    </row>
    <row r="157" spans="1:26" ht="35.4" thickBot="1">
      <c r="A157" s="243" t="s">
        <v>605</v>
      </c>
      <c r="B157" s="233" t="s">
        <v>809</v>
      </c>
      <c r="C157" s="233" t="s">
        <v>779</v>
      </c>
      <c r="D157" s="233" t="s">
        <v>780</v>
      </c>
      <c r="E157" s="233" t="s">
        <v>781</v>
      </c>
      <c r="F157" s="233" t="s">
        <v>782</v>
      </c>
      <c r="G157" s="233" t="s">
        <v>789</v>
      </c>
      <c r="H157" s="233" t="s">
        <v>608</v>
      </c>
      <c r="S157" s="333" t="s">
        <v>786</v>
      </c>
      <c r="T157" s="333" t="s">
        <v>654</v>
      </c>
      <c r="U157" s="428">
        <v>12.7</v>
      </c>
      <c r="V157" s="428">
        <v>13.5</v>
      </c>
      <c r="W157" s="428">
        <v>18.100000000000001</v>
      </c>
      <c r="X157" s="428">
        <v>14.6</v>
      </c>
      <c r="Y157" s="428">
        <v>14.9</v>
      </c>
      <c r="Z157" s="428">
        <v>13.6</v>
      </c>
    </row>
    <row r="158" spans="1:26" ht="42" thickBot="1">
      <c r="A158" s="232" t="s">
        <v>785</v>
      </c>
      <c r="B158" s="28">
        <v>1</v>
      </c>
      <c r="C158" s="242">
        <f>U156*1000000</f>
        <v>13600000</v>
      </c>
      <c r="D158" s="242">
        <f t="shared" ref="D158:H170" si="12">V156*1000000</f>
        <v>14400000</v>
      </c>
      <c r="E158" s="242">
        <f t="shared" si="12"/>
        <v>19900000</v>
      </c>
      <c r="F158" s="242">
        <f t="shared" si="12"/>
        <v>15500000</v>
      </c>
      <c r="G158" s="242">
        <f t="shared" si="12"/>
        <v>17500000</v>
      </c>
      <c r="H158" s="242">
        <f t="shared" si="12"/>
        <v>16600000.000000002</v>
      </c>
      <c r="S158" s="333" t="s">
        <v>606</v>
      </c>
      <c r="T158" s="333" t="s">
        <v>885</v>
      </c>
      <c r="U158" s="428">
        <v>12.7</v>
      </c>
      <c r="V158" s="428">
        <v>13</v>
      </c>
      <c r="W158" s="428">
        <v>18.100000000000001</v>
      </c>
      <c r="X158" s="428">
        <v>13.2</v>
      </c>
      <c r="Y158" s="428">
        <v>15.9</v>
      </c>
      <c r="Z158" s="428">
        <v>15.5</v>
      </c>
    </row>
    <row r="159" spans="1:26" ht="42" thickBot="1">
      <c r="A159" s="232" t="s">
        <v>786</v>
      </c>
      <c r="B159" s="28">
        <v>2</v>
      </c>
      <c r="C159" s="242">
        <f t="shared" ref="C159:C170" si="13">U157*1000000</f>
        <v>12700000</v>
      </c>
      <c r="D159" s="242">
        <f t="shared" si="12"/>
        <v>13500000</v>
      </c>
      <c r="E159" s="242">
        <f t="shared" si="12"/>
        <v>18100000</v>
      </c>
      <c r="F159" s="242">
        <f t="shared" si="12"/>
        <v>14600000</v>
      </c>
      <c r="G159" s="242">
        <f t="shared" si="12"/>
        <v>14900000</v>
      </c>
      <c r="H159" s="242">
        <f t="shared" si="12"/>
        <v>13600000</v>
      </c>
      <c r="J159" s="241">
        <f ca="1">IF(I160=0,0,OFFSET(B157,$J$87,$M$87))</f>
        <v>0</v>
      </c>
      <c r="S159" s="333" t="s">
        <v>787</v>
      </c>
      <c r="T159" s="333" t="s">
        <v>733</v>
      </c>
      <c r="U159" s="428">
        <v>12.7</v>
      </c>
      <c r="V159" s="428">
        <v>13.5</v>
      </c>
      <c r="W159" s="428">
        <v>18.100000000000001</v>
      </c>
      <c r="X159" s="428">
        <v>14.6</v>
      </c>
      <c r="Y159" s="428">
        <v>14.9</v>
      </c>
      <c r="Z159" s="428">
        <v>15.5</v>
      </c>
    </row>
    <row r="160" spans="1:26" ht="34.799999999999997" thickBot="1">
      <c r="A160" s="232" t="s">
        <v>606</v>
      </c>
      <c r="B160" s="28">
        <v>3</v>
      </c>
      <c r="C160" s="242">
        <f t="shared" si="13"/>
        <v>12700000</v>
      </c>
      <c r="D160" s="242">
        <f t="shared" si="12"/>
        <v>13000000</v>
      </c>
      <c r="E160" s="242">
        <f t="shared" si="12"/>
        <v>18100000</v>
      </c>
      <c r="F160" s="242">
        <f t="shared" si="12"/>
        <v>13200000</v>
      </c>
      <c r="G160" s="242">
        <f t="shared" si="12"/>
        <v>15900000</v>
      </c>
      <c r="H160" s="242">
        <f t="shared" si="12"/>
        <v>15500000</v>
      </c>
      <c r="I160" s="28">
        <f>I89</f>
        <v>0</v>
      </c>
      <c r="S160" s="333" t="s">
        <v>788</v>
      </c>
      <c r="T160" s="333" t="s">
        <v>735</v>
      </c>
      <c r="U160" s="428">
        <v>12.7</v>
      </c>
      <c r="V160" s="428">
        <v>13.5</v>
      </c>
      <c r="W160" s="428">
        <v>18.100000000000001</v>
      </c>
      <c r="X160" s="428">
        <v>14.3</v>
      </c>
      <c r="Y160" s="428">
        <v>14</v>
      </c>
      <c r="Z160" s="428">
        <v>14</v>
      </c>
    </row>
    <row r="161" spans="1:26" ht="42" thickBot="1">
      <c r="A161" s="232" t="s">
        <v>787</v>
      </c>
      <c r="B161" s="28">
        <v>4</v>
      </c>
      <c r="C161" s="242">
        <f t="shared" si="13"/>
        <v>12700000</v>
      </c>
      <c r="D161" s="242">
        <f t="shared" si="12"/>
        <v>13500000</v>
      </c>
      <c r="E161" s="242">
        <f t="shared" si="12"/>
        <v>18100000</v>
      </c>
      <c r="F161" s="242">
        <f t="shared" si="12"/>
        <v>14600000</v>
      </c>
      <c r="G161" s="242">
        <f t="shared" si="12"/>
        <v>14900000</v>
      </c>
      <c r="H161" s="242">
        <f t="shared" si="12"/>
        <v>15500000</v>
      </c>
      <c r="S161" s="333" t="s">
        <v>790</v>
      </c>
      <c r="T161" s="333" t="s">
        <v>886</v>
      </c>
      <c r="U161" s="428">
        <v>12.7</v>
      </c>
      <c r="V161" s="428">
        <v>15.6</v>
      </c>
      <c r="W161" s="428">
        <v>18.100000000000001</v>
      </c>
      <c r="X161" s="428">
        <v>14.6</v>
      </c>
      <c r="Y161" s="428">
        <v>14.9</v>
      </c>
      <c r="Z161" s="428">
        <v>14.1</v>
      </c>
    </row>
    <row r="162" spans="1:26" ht="28.2" thickBot="1">
      <c r="A162" s="232" t="s">
        <v>788</v>
      </c>
      <c r="B162" s="28">
        <v>5</v>
      </c>
      <c r="C162" s="242">
        <f t="shared" si="13"/>
        <v>12700000</v>
      </c>
      <c r="D162" s="242">
        <f t="shared" si="12"/>
        <v>13500000</v>
      </c>
      <c r="E162" s="242">
        <f t="shared" si="12"/>
        <v>18100000</v>
      </c>
      <c r="F162" s="242">
        <f t="shared" si="12"/>
        <v>14300000</v>
      </c>
      <c r="G162" s="242">
        <f t="shared" si="12"/>
        <v>14000000</v>
      </c>
      <c r="H162" s="242">
        <f t="shared" si="12"/>
        <v>14000000</v>
      </c>
      <c r="S162" s="333" t="s">
        <v>620</v>
      </c>
      <c r="T162" s="333" t="s">
        <v>887</v>
      </c>
      <c r="U162" s="428">
        <v>12.7</v>
      </c>
      <c r="V162" s="428">
        <v>13.5</v>
      </c>
      <c r="W162" s="428">
        <v>18.100000000000001</v>
      </c>
      <c r="X162" s="428">
        <v>13.3</v>
      </c>
      <c r="Y162" s="428">
        <v>12.7</v>
      </c>
      <c r="Z162" s="428">
        <v>13</v>
      </c>
    </row>
    <row r="163" spans="1:26" ht="28.2" thickBot="1">
      <c r="A163" s="232" t="s">
        <v>790</v>
      </c>
      <c r="B163" s="28">
        <v>6</v>
      </c>
      <c r="C163" s="242">
        <f t="shared" si="13"/>
        <v>12700000</v>
      </c>
      <c r="D163" s="242">
        <f t="shared" si="12"/>
        <v>15600000</v>
      </c>
      <c r="E163" s="242">
        <f t="shared" si="12"/>
        <v>18100000</v>
      </c>
      <c r="F163" s="242">
        <f t="shared" si="12"/>
        <v>14600000</v>
      </c>
      <c r="G163" s="242">
        <f t="shared" si="12"/>
        <v>14900000</v>
      </c>
      <c r="H163" s="242">
        <f t="shared" si="12"/>
        <v>14100000</v>
      </c>
      <c r="S163" s="333" t="s">
        <v>791</v>
      </c>
      <c r="T163" s="333" t="s">
        <v>888</v>
      </c>
      <c r="U163" s="428">
        <v>12.7</v>
      </c>
      <c r="V163" s="428">
        <v>13.5</v>
      </c>
      <c r="W163" s="428">
        <v>18.100000000000001</v>
      </c>
      <c r="X163" s="428">
        <v>14.6</v>
      </c>
      <c r="Y163" s="428">
        <v>15.2</v>
      </c>
      <c r="Z163" s="428">
        <v>14.2</v>
      </c>
    </row>
    <row r="164" spans="1:26" ht="28.2" thickBot="1">
      <c r="A164" s="232" t="s">
        <v>620</v>
      </c>
      <c r="B164" s="28">
        <v>7</v>
      </c>
      <c r="C164" s="242">
        <f t="shared" si="13"/>
        <v>12700000</v>
      </c>
      <c r="D164" s="242">
        <f t="shared" si="12"/>
        <v>13500000</v>
      </c>
      <c r="E164" s="242">
        <f t="shared" si="12"/>
        <v>18100000</v>
      </c>
      <c r="F164" s="242">
        <f t="shared" si="12"/>
        <v>13300000</v>
      </c>
      <c r="G164" s="242">
        <f t="shared" si="12"/>
        <v>12700000</v>
      </c>
      <c r="H164" s="242">
        <f t="shared" si="12"/>
        <v>13000000</v>
      </c>
      <c r="S164" s="333" t="s">
        <v>792</v>
      </c>
      <c r="T164" s="333" t="s">
        <v>889</v>
      </c>
      <c r="U164" s="428">
        <v>12.7</v>
      </c>
      <c r="V164" s="428">
        <v>13.5</v>
      </c>
      <c r="W164" s="428">
        <v>18.100000000000001</v>
      </c>
      <c r="X164" s="428">
        <v>14.6</v>
      </c>
      <c r="Y164" s="428">
        <v>15.2</v>
      </c>
      <c r="Z164" s="428">
        <v>14.2</v>
      </c>
    </row>
    <row r="165" spans="1:26" ht="42" thickBot="1">
      <c r="A165" s="232" t="s">
        <v>791</v>
      </c>
      <c r="B165" s="28">
        <v>8</v>
      </c>
      <c r="C165" s="242">
        <f t="shared" si="13"/>
        <v>12700000</v>
      </c>
      <c r="D165" s="242">
        <f t="shared" si="12"/>
        <v>13500000</v>
      </c>
      <c r="E165" s="242">
        <f t="shared" si="12"/>
        <v>18100000</v>
      </c>
      <c r="F165" s="242">
        <f t="shared" si="12"/>
        <v>14600000</v>
      </c>
      <c r="G165" s="242">
        <f t="shared" si="12"/>
        <v>15200000</v>
      </c>
      <c r="H165" s="242">
        <f t="shared" si="12"/>
        <v>14200000</v>
      </c>
      <c r="S165" s="333" t="s">
        <v>793</v>
      </c>
      <c r="T165" s="333" t="s">
        <v>890</v>
      </c>
      <c r="U165" s="428">
        <v>12.7</v>
      </c>
      <c r="V165" s="428">
        <v>13.5</v>
      </c>
      <c r="W165" s="428">
        <v>18.100000000000001</v>
      </c>
      <c r="X165" s="428">
        <v>14.6</v>
      </c>
      <c r="Y165" s="428">
        <v>15.2</v>
      </c>
      <c r="Z165" s="428">
        <v>14.2</v>
      </c>
    </row>
    <row r="166" spans="1:26" ht="28.2" thickBot="1">
      <c r="A166" s="232" t="s">
        <v>792</v>
      </c>
      <c r="B166" s="28">
        <v>9</v>
      </c>
      <c r="C166" s="242">
        <f t="shared" si="13"/>
        <v>12700000</v>
      </c>
      <c r="D166" s="242">
        <f t="shared" si="12"/>
        <v>13500000</v>
      </c>
      <c r="E166" s="242">
        <f t="shared" si="12"/>
        <v>18100000</v>
      </c>
      <c r="F166" s="242">
        <f t="shared" si="12"/>
        <v>14600000</v>
      </c>
      <c r="G166" s="242">
        <f t="shared" si="12"/>
        <v>15200000</v>
      </c>
      <c r="H166" s="242">
        <f t="shared" si="12"/>
        <v>14200000</v>
      </c>
      <c r="S166" s="333" t="s">
        <v>794</v>
      </c>
      <c r="T166" s="333" t="s">
        <v>768</v>
      </c>
      <c r="U166" s="428">
        <v>12.7</v>
      </c>
      <c r="V166" s="428">
        <v>13.5</v>
      </c>
      <c r="W166" s="428">
        <v>18.100000000000001</v>
      </c>
      <c r="X166" s="428">
        <v>12.9</v>
      </c>
      <c r="Y166" s="428">
        <v>15.3</v>
      </c>
      <c r="Z166" s="428">
        <v>14.3</v>
      </c>
    </row>
    <row r="167" spans="1:26" ht="34.799999999999997" thickBot="1">
      <c r="A167" s="232" t="s">
        <v>793</v>
      </c>
      <c r="B167" s="28">
        <v>10</v>
      </c>
      <c r="C167" s="242">
        <f t="shared" si="13"/>
        <v>12700000</v>
      </c>
      <c r="D167" s="242">
        <f t="shared" si="12"/>
        <v>13500000</v>
      </c>
      <c r="E167" s="242">
        <f t="shared" si="12"/>
        <v>18100000</v>
      </c>
      <c r="F167" s="242">
        <f t="shared" si="12"/>
        <v>14600000</v>
      </c>
      <c r="G167" s="242">
        <f t="shared" si="12"/>
        <v>15200000</v>
      </c>
      <c r="H167" s="242">
        <f t="shared" si="12"/>
        <v>14200000</v>
      </c>
      <c r="S167" s="333" t="s">
        <v>795</v>
      </c>
      <c r="T167" s="333" t="s">
        <v>891</v>
      </c>
      <c r="U167" s="428">
        <v>12.7</v>
      </c>
      <c r="V167" s="428">
        <v>12.9</v>
      </c>
      <c r="W167" s="428">
        <v>18.100000000000001</v>
      </c>
      <c r="X167" s="428">
        <v>15.3</v>
      </c>
      <c r="Y167" s="428">
        <v>14.9</v>
      </c>
      <c r="Z167" s="428">
        <v>14.3</v>
      </c>
    </row>
    <row r="168" spans="1:26" ht="42" thickBot="1">
      <c r="A168" s="232" t="s">
        <v>794</v>
      </c>
      <c r="B168" s="28">
        <v>11</v>
      </c>
      <c r="C168" s="242">
        <f t="shared" si="13"/>
        <v>12700000</v>
      </c>
      <c r="D168" s="242">
        <f>V166*1000000</f>
        <v>13500000</v>
      </c>
      <c r="E168" s="242">
        <f t="shared" si="12"/>
        <v>18100000</v>
      </c>
      <c r="F168" s="242">
        <f t="shared" si="12"/>
        <v>12900000</v>
      </c>
      <c r="G168" s="242">
        <f t="shared" si="12"/>
        <v>15300000</v>
      </c>
      <c r="H168" s="242">
        <f t="shared" si="12"/>
        <v>14300000</v>
      </c>
      <c r="S168" s="333" t="s">
        <v>643</v>
      </c>
      <c r="T168" s="333"/>
      <c r="U168" s="428">
        <v>12.7</v>
      </c>
      <c r="V168" s="428">
        <v>13.5</v>
      </c>
      <c r="W168" s="428">
        <v>18.100000000000001</v>
      </c>
      <c r="X168" s="428">
        <v>14.6</v>
      </c>
      <c r="Y168" s="428">
        <v>15.2</v>
      </c>
      <c r="Z168" s="428">
        <v>14.9</v>
      </c>
    </row>
    <row r="169" spans="1:26" ht="23.4" thickBot="1">
      <c r="A169" s="232" t="s">
        <v>795</v>
      </c>
      <c r="B169" s="28">
        <v>12</v>
      </c>
      <c r="C169" s="242">
        <f t="shared" si="13"/>
        <v>12700000</v>
      </c>
      <c r="D169" s="242">
        <f t="shared" si="12"/>
        <v>12900000</v>
      </c>
      <c r="E169" s="242">
        <f t="shared" si="12"/>
        <v>18100000</v>
      </c>
      <c r="F169" s="242">
        <f t="shared" si="12"/>
        <v>15300000</v>
      </c>
      <c r="G169" s="242">
        <f t="shared" si="12"/>
        <v>14900000</v>
      </c>
      <c r="H169" s="242">
        <f t="shared" si="12"/>
        <v>14300000</v>
      </c>
      <c r="S169" s="426"/>
      <c r="T169" s="426"/>
      <c r="U169" s="426"/>
      <c r="V169" s="426"/>
      <c r="W169" s="426"/>
      <c r="X169" s="426"/>
      <c r="Y169" s="426"/>
      <c r="Z169" s="426"/>
    </row>
    <row r="170" spans="1:26" ht="34.799999999999997" thickBot="1">
      <c r="A170" s="232" t="s">
        <v>643</v>
      </c>
      <c r="B170" s="28">
        <v>13</v>
      </c>
      <c r="C170" s="242">
        <f t="shared" si="13"/>
        <v>12700000</v>
      </c>
      <c r="D170" s="242">
        <f t="shared" si="12"/>
        <v>13500000</v>
      </c>
      <c r="E170" s="242">
        <f t="shared" si="12"/>
        <v>18100000</v>
      </c>
      <c r="F170" s="242">
        <f t="shared" si="12"/>
        <v>14600000</v>
      </c>
      <c r="G170" s="242">
        <f t="shared" si="12"/>
        <v>15200000</v>
      </c>
      <c r="H170" s="242">
        <f t="shared" si="12"/>
        <v>14900000</v>
      </c>
      <c r="S170" s="331" t="s">
        <v>902</v>
      </c>
      <c r="T170"/>
      <c r="U170"/>
      <c r="V170"/>
      <c r="W170"/>
      <c r="X170"/>
      <c r="Y170"/>
      <c r="Z170"/>
    </row>
    <row r="171" spans="1:26" ht="82.8">
      <c r="A171" s="240"/>
      <c r="B171" s="28">
        <v>14</v>
      </c>
      <c r="S171" s="432" t="s">
        <v>903</v>
      </c>
      <c r="T171" s="432"/>
      <c r="U171" s="432" t="s">
        <v>894</v>
      </c>
      <c r="V171" s="432"/>
      <c r="W171" s="432"/>
      <c r="X171" s="432"/>
      <c r="Y171" s="432"/>
      <c r="Z171" s="432"/>
    </row>
    <row r="172" spans="1:26" ht="42" thickBot="1">
      <c r="A172" s="237" t="s">
        <v>810</v>
      </c>
      <c r="B172" s="237" t="s">
        <v>811</v>
      </c>
      <c r="S172" s="424" t="s">
        <v>904</v>
      </c>
      <c r="T172" s="424"/>
      <c r="U172" s="424"/>
      <c r="V172" s="424"/>
      <c r="W172" s="424"/>
      <c r="X172" s="424"/>
      <c r="Y172" s="424"/>
      <c r="Z172" s="424"/>
    </row>
    <row r="173" spans="1:26" ht="34.35" customHeight="1" thickBot="1">
      <c r="A173" s="843" t="s">
        <v>812</v>
      </c>
      <c r="B173" s="844"/>
      <c r="C173" s="843" t="s">
        <v>908</v>
      </c>
      <c r="D173" s="845"/>
      <c r="E173" s="845"/>
      <c r="F173" s="845"/>
      <c r="G173" s="845"/>
      <c r="H173" s="844"/>
      <c r="S173" s="427" t="s">
        <v>605</v>
      </c>
      <c r="T173" s="427" t="s">
        <v>723</v>
      </c>
      <c r="U173" s="427" t="s">
        <v>881</v>
      </c>
      <c r="V173" s="427" t="s">
        <v>882</v>
      </c>
      <c r="W173" s="427" t="s">
        <v>781</v>
      </c>
      <c r="X173" s="427" t="s">
        <v>782</v>
      </c>
      <c r="Y173" s="427" t="s">
        <v>883</v>
      </c>
      <c r="Z173" s="427" t="s">
        <v>608</v>
      </c>
    </row>
    <row r="174" spans="1:26" ht="35.4" thickBot="1">
      <c r="A174" s="234" t="s">
        <v>605</v>
      </c>
      <c r="B174" s="233" t="s">
        <v>723</v>
      </c>
      <c r="C174" s="233" t="s">
        <v>779</v>
      </c>
      <c r="D174" s="233" t="s">
        <v>780</v>
      </c>
      <c r="E174" s="233" t="s">
        <v>781</v>
      </c>
      <c r="F174" s="233" t="s">
        <v>782</v>
      </c>
      <c r="G174" s="233" t="s">
        <v>789</v>
      </c>
      <c r="H174" s="233" t="s">
        <v>608</v>
      </c>
      <c r="S174" s="333" t="s">
        <v>785</v>
      </c>
      <c r="T174" s="333" t="s">
        <v>884</v>
      </c>
      <c r="U174" s="431">
        <v>746</v>
      </c>
      <c r="V174" s="431">
        <v>722</v>
      </c>
      <c r="W174" s="431">
        <v>1075</v>
      </c>
      <c r="X174" s="431">
        <v>882</v>
      </c>
      <c r="Y174" s="431">
        <v>1083</v>
      </c>
      <c r="Z174" s="431">
        <v>979</v>
      </c>
    </row>
    <row r="175" spans="1:26" ht="14.4" thickBot="1">
      <c r="A175" s="232" t="s">
        <v>785</v>
      </c>
      <c r="B175" s="28">
        <v>1</v>
      </c>
      <c r="C175" s="242">
        <f>U174*1000</f>
        <v>746000</v>
      </c>
      <c r="D175" s="242">
        <f t="shared" ref="D175:H187" si="14">V174*1000</f>
        <v>722000</v>
      </c>
      <c r="E175" s="242">
        <f t="shared" si="14"/>
        <v>1075000</v>
      </c>
      <c r="F175" s="242">
        <f t="shared" si="14"/>
        <v>882000</v>
      </c>
      <c r="G175" s="242">
        <f t="shared" si="14"/>
        <v>1083000</v>
      </c>
      <c r="H175" s="242">
        <f t="shared" si="14"/>
        <v>979000</v>
      </c>
      <c r="S175" s="333" t="s">
        <v>786</v>
      </c>
      <c r="T175" s="333" t="s">
        <v>654</v>
      </c>
      <c r="U175" s="431">
        <v>690</v>
      </c>
      <c r="V175" s="431">
        <v>746</v>
      </c>
      <c r="W175" s="431">
        <v>987</v>
      </c>
      <c r="X175" s="431">
        <v>810</v>
      </c>
      <c r="Y175" s="431">
        <v>842</v>
      </c>
      <c r="Z175" s="431">
        <v>802</v>
      </c>
    </row>
    <row r="176" spans="1:26" ht="42" thickBot="1">
      <c r="A176" s="232" t="s">
        <v>786</v>
      </c>
      <c r="B176" s="28">
        <v>2</v>
      </c>
      <c r="C176" s="242">
        <f t="shared" ref="C176:C187" si="15">U175*1000</f>
        <v>690000</v>
      </c>
      <c r="D176" s="242">
        <f t="shared" si="14"/>
        <v>746000</v>
      </c>
      <c r="E176" s="242">
        <f t="shared" si="14"/>
        <v>987000</v>
      </c>
      <c r="F176" s="242">
        <f t="shared" si="14"/>
        <v>810000</v>
      </c>
      <c r="G176" s="242">
        <f t="shared" si="14"/>
        <v>842000</v>
      </c>
      <c r="H176" s="242">
        <f t="shared" si="14"/>
        <v>802000</v>
      </c>
      <c r="J176" s="241">
        <f ca="1">IF(I177=0,0,OFFSET(B174,$J$87,$M$87))</f>
        <v>0</v>
      </c>
      <c r="S176" s="333" t="s">
        <v>606</v>
      </c>
      <c r="T176" s="333" t="s">
        <v>885</v>
      </c>
      <c r="U176" s="431">
        <v>762</v>
      </c>
      <c r="V176" s="431">
        <v>730</v>
      </c>
      <c r="W176" s="431">
        <v>1283</v>
      </c>
      <c r="X176" s="431">
        <v>803</v>
      </c>
      <c r="Y176" s="431">
        <v>835</v>
      </c>
      <c r="Z176" s="431">
        <v>810</v>
      </c>
    </row>
    <row r="177" spans="1:26" ht="42" thickBot="1">
      <c r="A177" s="232" t="s">
        <v>606</v>
      </c>
      <c r="B177" s="28">
        <v>3</v>
      </c>
      <c r="C177" s="242">
        <f t="shared" si="15"/>
        <v>762000</v>
      </c>
      <c r="D177" s="242">
        <f t="shared" si="14"/>
        <v>730000</v>
      </c>
      <c r="E177" s="242">
        <f t="shared" si="14"/>
        <v>1283000</v>
      </c>
      <c r="F177" s="242">
        <f t="shared" si="14"/>
        <v>803000</v>
      </c>
      <c r="G177" s="242">
        <f t="shared" si="14"/>
        <v>835000</v>
      </c>
      <c r="H177" s="242">
        <f t="shared" si="14"/>
        <v>810000</v>
      </c>
      <c r="I177" s="28">
        <f>I89</f>
        <v>0</v>
      </c>
      <c r="S177" s="333" t="s">
        <v>787</v>
      </c>
      <c r="T177" s="333" t="s">
        <v>733</v>
      </c>
      <c r="U177" s="431">
        <v>746</v>
      </c>
      <c r="V177" s="431">
        <v>690</v>
      </c>
      <c r="W177" s="431">
        <v>987</v>
      </c>
      <c r="X177" s="431">
        <v>810</v>
      </c>
      <c r="Y177" s="431">
        <v>827</v>
      </c>
      <c r="Z177" s="431">
        <v>762</v>
      </c>
    </row>
    <row r="178" spans="1:26" ht="34.799999999999997" thickBot="1">
      <c r="A178" s="232" t="s">
        <v>787</v>
      </c>
      <c r="B178" s="28">
        <v>4</v>
      </c>
      <c r="C178" s="242">
        <f t="shared" si="15"/>
        <v>746000</v>
      </c>
      <c r="D178" s="242">
        <f t="shared" si="14"/>
        <v>690000</v>
      </c>
      <c r="E178" s="242">
        <f t="shared" si="14"/>
        <v>987000</v>
      </c>
      <c r="F178" s="242">
        <f t="shared" si="14"/>
        <v>810000</v>
      </c>
      <c r="G178" s="242">
        <f t="shared" si="14"/>
        <v>827000</v>
      </c>
      <c r="H178" s="242">
        <f t="shared" si="14"/>
        <v>762000</v>
      </c>
      <c r="S178" s="333" t="s">
        <v>788</v>
      </c>
      <c r="T178" s="333" t="s">
        <v>735</v>
      </c>
      <c r="U178" s="431">
        <v>746</v>
      </c>
      <c r="V178" s="431">
        <v>778</v>
      </c>
      <c r="W178" s="431">
        <v>987</v>
      </c>
      <c r="X178" s="431">
        <v>786</v>
      </c>
      <c r="Y178" s="431">
        <v>802</v>
      </c>
      <c r="Z178" s="431">
        <v>794</v>
      </c>
    </row>
    <row r="179" spans="1:26" ht="42" thickBot="1">
      <c r="A179" s="232" t="s">
        <v>788</v>
      </c>
      <c r="B179" s="28">
        <v>5</v>
      </c>
      <c r="C179" s="242">
        <f t="shared" si="15"/>
        <v>746000</v>
      </c>
      <c r="D179" s="242">
        <f t="shared" si="14"/>
        <v>778000</v>
      </c>
      <c r="E179" s="242">
        <f t="shared" si="14"/>
        <v>987000</v>
      </c>
      <c r="F179" s="242">
        <f t="shared" si="14"/>
        <v>786000</v>
      </c>
      <c r="G179" s="242">
        <f t="shared" si="14"/>
        <v>802000</v>
      </c>
      <c r="H179" s="242">
        <f t="shared" si="14"/>
        <v>794000</v>
      </c>
      <c r="S179" s="333" t="s">
        <v>790</v>
      </c>
      <c r="T179" s="333" t="s">
        <v>886</v>
      </c>
      <c r="U179" s="431">
        <v>746</v>
      </c>
      <c r="V179" s="431">
        <v>746</v>
      </c>
      <c r="W179" s="431">
        <v>987</v>
      </c>
      <c r="X179" s="431">
        <v>794</v>
      </c>
      <c r="Y179" s="431">
        <v>874</v>
      </c>
      <c r="Z179" s="431">
        <v>802</v>
      </c>
    </row>
    <row r="180" spans="1:26" ht="28.2" thickBot="1">
      <c r="A180" s="232" t="s">
        <v>790</v>
      </c>
      <c r="B180" s="28">
        <v>6</v>
      </c>
      <c r="C180" s="242">
        <f t="shared" si="15"/>
        <v>746000</v>
      </c>
      <c r="D180" s="242">
        <f t="shared" si="14"/>
        <v>746000</v>
      </c>
      <c r="E180" s="242">
        <f t="shared" si="14"/>
        <v>987000</v>
      </c>
      <c r="F180" s="242">
        <f t="shared" si="14"/>
        <v>794000</v>
      </c>
      <c r="G180" s="242">
        <f t="shared" si="14"/>
        <v>874000</v>
      </c>
      <c r="H180" s="242">
        <f t="shared" si="14"/>
        <v>802000</v>
      </c>
      <c r="S180" s="333" t="s">
        <v>620</v>
      </c>
      <c r="T180" s="333" t="s">
        <v>887</v>
      </c>
      <c r="U180" s="431">
        <v>755</v>
      </c>
      <c r="V180" s="431">
        <v>787</v>
      </c>
      <c r="W180" s="431">
        <v>987</v>
      </c>
      <c r="X180" s="431">
        <v>810</v>
      </c>
      <c r="Y180" s="431">
        <v>706</v>
      </c>
      <c r="Z180" s="431">
        <v>700</v>
      </c>
    </row>
    <row r="181" spans="1:26" ht="28.2" thickBot="1">
      <c r="A181" s="232" t="s">
        <v>620</v>
      </c>
      <c r="B181" s="28">
        <v>7</v>
      </c>
      <c r="C181" s="242">
        <f t="shared" si="15"/>
        <v>755000</v>
      </c>
      <c r="D181" s="242">
        <f t="shared" si="14"/>
        <v>787000</v>
      </c>
      <c r="E181" s="242">
        <f t="shared" si="14"/>
        <v>987000</v>
      </c>
      <c r="F181" s="242">
        <f t="shared" si="14"/>
        <v>810000</v>
      </c>
      <c r="G181" s="242">
        <f t="shared" si="14"/>
        <v>706000</v>
      </c>
      <c r="H181" s="242">
        <f t="shared" si="14"/>
        <v>700000</v>
      </c>
      <c r="S181" s="333" t="s">
        <v>791</v>
      </c>
      <c r="T181" s="333" t="s">
        <v>888</v>
      </c>
      <c r="U181" s="431">
        <v>746</v>
      </c>
      <c r="V181" s="431">
        <v>762</v>
      </c>
      <c r="W181" s="431">
        <v>987</v>
      </c>
      <c r="X181" s="431">
        <v>810</v>
      </c>
      <c r="Y181" s="431">
        <v>882</v>
      </c>
      <c r="Z181" s="431">
        <v>842</v>
      </c>
    </row>
    <row r="182" spans="1:26" ht="28.2" thickBot="1">
      <c r="A182" s="232" t="s">
        <v>791</v>
      </c>
      <c r="B182" s="28">
        <v>8</v>
      </c>
      <c r="C182" s="242">
        <f t="shared" si="15"/>
        <v>746000</v>
      </c>
      <c r="D182" s="242">
        <f t="shared" si="14"/>
        <v>762000</v>
      </c>
      <c r="E182" s="242">
        <f t="shared" si="14"/>
        <v>987000</v>
      </c>
      <c r="F182" s="242">
        <f t="shared" si="14"/>
        <v>810000</v>
      </c>
      <c r="G182" s="242">
        <f t="shared" si="14"/>
        <v>882000</v>
      </c>
      <c r="H182" s="242">
        <f t="shared" si="14"/>
        <v>842000</v>
      </c>
      <c r="S182" s="333" t="s">
        <v>792</v>
      </c>
      <c r="T182" s="333" t="s">
        <v>889</v>
      </c>
      <c r="U182" s="431">
        <v>746</v>
      </c>
      <c r="V182" s="431">
        <v>730</v>
      </c>
      <c r="W182" s="431">
        <v>987</v>
      </c>
      <c r="X182" s="431">
        <v>810</v>
      </c>
      <c r="Y182" s="431">
        <v>842</v>
      </c>
      <c r="Z182" s="431">
        <v>802</v>
      </c>
    </row>
    <row r="183" spans="1:26" ht="42" thickBot="1">
      <c r="A183" s="232" t="s">
        <v>792</v>
      </c>
      <c r="B183" s="28">
        <v>9</v>
      </c>
      <c r="C183" s="242">
        <f t="shared" si="15"/>
        <v>746000</v>
      </c>
      <c r="D183" s="242">
        <f t="shared" si="14"/>
        <v>730000</v>
      </c>
      <c r="E183" s="242">
        <f t="shared" si="14"/>
        <v>987000</v>
      </c>
      <c r="F183" s="242">
        <f t="shared" si="14"/>
        <v>810000</v>
      </c>
      <c r="G183" s="242">
        <f t="shared" si="14"/>
        <v>842000</v>
      </c>
      <c r="H183" s="242">
        <f t="shared" si="14"/>
        <v>802000</v>
      </c>
      <c r="S183" s="333" t="s">
        <v>793</v>
      </c>
      <c r="T183" s="333" t="s">
        <v>890</v>
      </c>
      <c r="U183" s="431">
        <v>722</v>
      </c>
      <c r="V183" s="431">
        <v>754</v>
      </c>
      <c r="W183" s="431">
        <v>987</v>
      </c>
      <c r="X183" s="431">
        <v>810</v>
      </c>
      <c r="Y183" s="431">
        <v>835</v>
      </c>
      <c r="Z183" s="431">
        <v>842</v>
      </c>
    </row>
    <row r="184" spans="1:26" ht="34.799999999999997" thickBot="1">
      <c r="A184" s="232" t="s">
        <v>793</v>
      </c>
      <c r="B184" s="28">
        <v>10</v>
      </c>
      <c r="C184" s="242">
        <f t="shared" si="15"/>
        <v>722000</v>
      </c>
      <c r="D184" s="242">
        <f t="shared" si="14"/>
        <v>754000</v>
      </c>
      <c r="E184" s="242">
        <f t="shared" si="14"/>
        <v>987000</v>
      </c>
      <c r="F184" s="242">
        <f t="shared" si="14"/>
        <v>810000</v>
      </c>
      <c r="G184" s="242">
        <f t="shared" si="14"/>
        <v>835000</v>
      </c>
      <c r="H184" s="242">
        <f t="shared" si="14"/>
        <v>842000</v>
      </c>
      <c r="S184" s="333" t="s">
        <v>794</v>
      </c>
      <c r="T184" s="333" t="s">
        <v>768</v>
      </c>
      <c r="U184" s="431">
        <v>898</v>
      </c>
      <c r="V184" s="431">
        <v>715</v>
      </c>
      <c r="W184" s="431">
        <v>987</v>
      </c>
      <c r="X184" s="431">
        <v>834</v>
      </c>
      <c r="Y184" s="431">
        <v>955</v>
      </c>
      <c r="Z184" s="431">
        <v>842</v>
      </c>
    </row>
    <row r="185" spans="1:26" ht="28.2" thickBot="1">
      <c r="A185" s="232" t="s">
        <v>794</v>
      </c>
      <c r="B185" s="28">
        <v>11</v>
      </c>
      <c r="C185" s="242">
        <f t="shared" si="15"/>
        <v>898000</v>
      </c>
      <c r="D185" s="242">
        <f>V184*1000</f>
        <v>715000</v>
      </c>
      <c r="E185" s="242">
        <f t="shared" si="14"/>
        <v>987000</v>
      </c>
      <c r="F185" s="242">
        <f t="shared" si="14"/>
        <v>834000</v>
      </c>
      <c r="G185" s="242">
        <f t="shared" si="14"/>
        <v>955000</v>
      </c>
      <c r="H185" s="242">
        <f t="shared" si="14"/>
        <v>842000</v>
      </c>
      <c r="S185" s="333" t="s">
        <v>795</v>
      </c>
      <c r="T185" s="333" t="s">
        <v>891</v>
      </c>
      <c r="U185" s="431">
        <v>700</v>
      </c>
      <c r="V185" s="431">
        <v>738</v>
      </c>
      <c r="W185" s="431">
        <v>987</v>
      </c>
      <c r="X185" s="431">
        <v>851</v>
      </c>
      <c r="Y185" s="431">
        <v>923</v>
      </c>
      <c r="Z185" s="431">
        <v>842</v>
      </c>
    </row>
    <row r="186" spans="1:26" ht="42" thickBot="1">
      <c r="A186" s="232" t="s">
        <v>795</v>
      </c>
      <c r="B186" s="28">
        <v>12</v>
      </c>
      <c r="C186" s="242">
        <f t="shared" si="15"/>
        <v>700000</v>
      </c>
      <c r="D186" s="242">
        <f t="shared" si="14"/>
        <v>738000</v>
      </c>
      <c r="E186" s="242">
        <f t="shared" si="14"/>
        <v>987000</v>
      </c>
      <c r="F186" s="242">
        <f t="shared" si="14"/>
        <v>851000</v>
      </c>
      <c r="G186" s="242">
        <f t="shared" si="14"/>
        <v>923000</v>
      </c>
      <c r="H186" s="242">
        <f t="shared" si="14"/>
        <v>842000</v>
      </c>
      <c r="S186" s="333" t="s">
        <v>643</v>
      </c>
      <c r="T186" s="333"/>
      <c r="U186" s="431">
        <v>746</v>
      </c>
      <c r="V186" s="431">
        <v>730</v>
      </c>
      <c r="W186" s="431">
        <v>987</v>
      </c>
      <c r="X186" s="431">
        <v>810</v>
      </c>
      <c r="Y186" s="431">
        <v>882</v>
      </c>
      <c r="Z186" s="431">
        <v>842</v>
      </c>
    </row>
    <row r="187" spans="1:26" ht="34.799999999999997" thickBot="1">
      <c r="A187" s="232" t="s">
        <v>643</v>
      </c>
      <c r="B187" s="28">
        <v>13</v>
      </c>
      <c r="C187" s="242">
        <f t="shared" si="15"/>
        <v>746000</v>
      </c>
      <c r="D187" s="242">
        <f t="shared" si="14"/>
        <v>730000</v>
      </c>
      <c r="E187" s="242">
        <f t="shared" si="14"/>
        <v>987000</v>
      </c>
      <c r="F187" s="242">
        <f t="shared" si="14"/>
        <v>810000</v>
      </c>
      <c r="G187" s="242">
        <f t="shared" si="14"/>
        <v>882000</v>
      </c>
      <c r="H187" s="242">
        <f t="shared" si="14"/>
        <v>842000</v>
      </c>
      <c r="S187" s="426"/>
      <c r="T187" s="426"/>
      <c r="U187" s="426"/>
      <c r="V187" s="426"/>
      <c r="W187" s="426"/>
      <c r="X187" s="426"/>
      <c r="Y187" s="426"/>
      <c r="Z187" s="426"/>
    </row>
    <row r="188" spans="1:26" ht="19.8">
      <c r="A188" s="238"/>
      <c r="B188" s="28">
        <v>14</v>
      </c>
      <c r="S188" s="331" t="s">
        <v>905</v>
      </c>
      <c r="T188"/>
      <c r="U188"/>
      <c r="V188"/>
      <c r="W188"/>
      <c r="X188"/>
      <c r="Y188"/>
      <c r="Z188"/>
    </row>
    <row r="189" spans="1:26" ht="82.8">
      <c r="A189" s="238" t="s">
        <v>718</v>
      </c>
      <c r="B189" s="238" t="s">
        <v>719</v>
      </c>
      <c r="S189" s="423" t="s">
        <v>903</v>
      </c>
      <c r="T189" s="423"/>
      <c r="U189" s="423" t="s">
        <v>894</v>
      </c>
      <c r="V189" s="423"/>
      <c r="W189" s="423"/>
      <c r="X189" s="423"/>
      <c r="Y189" s="423"/>
      <c r="Z189" s="423"/>
    </row>
    <row r="190" spans="1:26" ht="42" thickBot="1">
      <c r="A190" s="237" t="s">
        <v>813</v>
      </c>
      <c r="B190" s="237" t="s">
        <v>814</v>
      </c>
      <c r="S190" s="424" t="s">
        <v>897</v>
      </c>
      <c r="T190" s="424"/>
      <c r="U190" s="424"/>
      <c r="V190" s="424"/>
      <c r="W190" s="424"/>
      <c r="X190" s="424"/>
      <c r="Y190" s="424"/>
      <c r="Z190" s="424"/>
    </row>
    <row r="191" spans="1:26" ht="34.35" customHeight="1" thickBot="1">
      <c r="A191" s="843" t="s">
        <v>815</v>
      </c>
      <c r="B191" s="844"/>
      <c r="C191" s="843" t="s">
        <v>778</v>
      </c>
      <c r="D191" s="845"/>
      <c r="E191" s="845"/>
      <c r="F191" s="845"/>
      <c r="G191" s="845"/>
      <c r="H191" s="844"/>
      <c r="S191" s="427" t="s">
        <v>605</v>
      </c>
      <c r="T191" s="427" t="s">
        <v>723</v>
      </c>
      <c r="U191" s="427" t="s">
        <v>881</v>
      </c>
      <c r="V191" s="427" t="s">
        <v>882</v>
      </c>
      <c r="W191" s="427" t="s">
        <v>781</v>
      </c>
      <c r="X191" s="427" t="s">
        <v>782</v>
      </c>
      <c r="Y191" s="427" t="s">
        <v>883</v>
      </c>
      <c r="Z191" s="427" t="s">
        <v>608</v>
      </c>
    </row>
    <row r="192" spans="1:26" ht="35.4" thickBot="1">
      <c r="A192" s="243" t="s">
        <v>605</v>
      </c>
      <c r="B192" s="233" t="s">
        <v>723</v>
      </c>
      <c r="C192" s="233" t="s">
        <v>779</v>
      </c>
      <c r="D192" s="233" t="s">
        <v>780</v>
      </c>
      <c r="E192" s="233" t="s">
        <v>781</v>
      </c>
      <c r="F192" s="233" t="s">
        <v>782</v>
      </c>
      <c r="G192" s="233" t="s">
        <v>789</v>
      </c>
      <c r="H192" s="233" t="s">
        <v>608</v>
      </c>
      <c r="S192" s="333" t="s">
        <v>785</v>
      </c>
      <c r="T192" s="333" t="s">
        <v>884</v>
      </c>
      <c r="U192" s="431">
        <v>77</v>
      </c>
      <c r="V192" s="431">
        <v>77</v>
      </c>
      <c r="W192" s="431">
        <v>74</v>
      </c>
      <c r="X192" s="431">
        <v>89</v>
      </c>
      <c r="Y192" s="431">
        <v>106</v>
      </c>
      <c r="Z192" s="431">
        <v>103</v>
      </c>
    </row>
    <row r="193" spans="1:26" ht="14.4" thickBot="1">
      <c r="A193" s="232" t="s">
        <v>785</v>
      </c>
      <c r="B193" s="28">
        <v>1</v>
      </c>
      <c r="C193" s="242">
        <f>U192*1000</f>
        <v>77000</v>
      </c>
      <c r="D193" s="242">
        <f>V192*1000</f>
        <v>77000</v>
      </c>
      <c r="E193" s="242">
        <f t="shared" ref="D193:H205" si="16">W192*1000</f>
        <v>74000</v>
      </c>
      <c r="F193" s="242">
        <f t="shared" si="16"/>
        <v>89000</v>
      </c>
      <c r="G193" s="242">
        <f t="shared" si="16"/>
        <v>106000</v>
      </c>
      <c r="H193" s="242">
        <f t="shared" si="16"/>
        <v>103000</v>
      </c>
      <c r="S193" s="333" t="s">
        <v>786</v>
      </c>
      <c r="T193" s="333" t="s">
        <v>654</v>
      </c>
      <c r="U193" s="431">
        <v>68</v>
      </c>
      <c r="V193" s="431">
        <v>69</v>
      </c>
      <c r="W193" s="431">
        <v>94</v>
      </c>
      <c r="X193" s="431">
        <v>77</v>
      </c>
      <c r="Y193" s="431">
        <v>77</v>
      </c>
      <c r="Z193" s="431">
        <v>77</v>
      </c>
    </row>
    <row r="194" spans="1:26" ht="42" thickBot="1">
      <c r="A194" s="232" t="s">
        <v>786</v>
      </c>
      <c r="B194" s="28">
        <v>2</v>
      </c>
      <c r="C194" s="242">
        <f t="shared" ref="C194:C205" si="17">U193*1000</f>
        <v>68000</v>
      </c>
      <c r="D194" s="242">
        <f t="shared" si="16"/>
        <v>69000</v>
      </c>
      <c r="E194" s="242">
        <f t="shared" si="16"/>
        <v>94000</v>
      </c>
      <c r="F194" s="242">
        <f t="shared" si="16"/>
        <v>77000</v>
      </c>
      <c r="G194" s="242">
        <f t="shared" si="16"/>
        <v>77000</v>
      </c>
      <c r="H194" s="242">
        <f t="shared" si="16"/>
        <v>77000</v>
      </c>
      <c r="J194" s="241">
        <f ca="1">IF(I195=0,0,OFFSET(B192,$J$87,$M$87))</f>
        <v>0</v>
      </c>
      <c r="S194" s="333" t="s">
        <v>606</v>
      </c>
      <c r="T194" s="333" t="s">
        <v>885</v>
      </c>
      <c r="U194" s="431">
        <v>74</v>
      </c>
      <c r="V194" s="431">
        <v>72</v>
      </c>
      <c r="W194" s="431">
        <v>100</v>
      </c>
      <c r="X194" s="431">
        <v>74</v>
      </c>
      <c r="Y194" s="431">
        <v>83</v>
      </c>
      <c r="Z194" s="431">
        <v>80</v>
      </c>
    </row>
    <row r="195" spans="1:26" ht="42" thickBot="1">
      <c r="A195" s="232" t="s">
        <v>606</v>
      </c>
      <c r="B195" s="28">
        <v>3</v>
      </c>
      <c r="C195" s="242">
        <f t="shared" si="17"/>
        <v>74000</v>
      </c>
      <c r="D195" s="242">
        <f t="shared" si="16"/>
        <v>72000</v>
      </c>
      <c r="E195" s="242">
        <f t="shared" si="16"/>
        <v>100000</v>
      </c>
      <c r="F195" s="242">
        <f t="shared" si="16"/>
        <v>74000</v>
      </c>
      <c r="G195" s="242">
        <f t="shared" si="16"/>
        <v>83000</v>
      </c>
      <c r="H195" s="242">
        <f t="shared" si="16"/>
        <v>80000</v>
      </c>
      <c r="I195" s="28">
        <f>I89</f>
        <v>0</v>
      </c>
      <c r="S195" s="333" t="s">
        <v>787</v>
      </c>
      <c r="T195" s="333" t="s">
        <v>733</v>
      </c>
      <c r="U195" s="431">
        <v>80</v>
      </c>
      <c r="V195" s="431">
        <v>72</v>
      </c>
      <c r="W195" s="431">
        <v>94</v>
      </c>
      <c r="X195" s="431">
        <v>86</v>
      </c>
      <c r="Y195" s="431">
        <v>86</v>
      </c>
      <c r="Z195" s="431">
        <v>80</v>
      </c>
    </row>
    <row r="196" spans="1:26" ht="34.799999999999997" thickBot="1">
      <c r="A196" s="232" t="s">
        <v>787</v>
      </c>
      <c r="B196" s="28">
        <v>4</v>
      </c>
      <c r="C196" s="242">
        <f t="shared" si="17"/>
        <v>80000</v>
      </c>
      <c r="D196" s="242">
        <f t="shared" si="16"/>
        <v>72000</v>
      </c>
      <c r="E196" s="242">
        <f t="shared" si="16"/>
        <v>94000</v>
      </c>
      <c r="F196" s="242">
        <f t="shared" si="16"/>
        <v>86000</v>
      </c>
      <c r="G196" s="242">
        <f t="shared" si="16"/>
        <v>86000</v>
      </c>
      <c r="H196" s="242">
        <f t="shared" si="16"/>
        <v>80000</v>
      </c>
      <c r="S196" s="333" t="s">
        <v>788</v>
      </c>
      <c r="T196" s="333" t="s">
        <v>735</v>
      </c>
      <c r="U196" s="431">
        <v>72</v>
      </c>
      <c r="V196" s="431">
        <v>74</v>
      </c>
      <c r="W196" s="431">
        <v>94</v>
      </c>
      <c r="X196" s="431">
        <v>80</v>
      </c>
      <c r="Y196" s="431">
        <v>77</v>
      </c>
      <c r="Z196" s="431">
        <v>77</v>
      </c>
    </row>
    <row r="197" spans="1:26" ht="42" thickBot="1">
      <c r="A197" s="232" t="s">
        <v>788</v>
      </c>
      <c r="B197" s="28">
        <v>5</v>
      </c>
      <c r="C197" s="242">
        <f t="shared" si="17"/>
        <v>72000</v>
      </c>
      <c r="D197" s="242">
        <f t="shared" si="16"/>
        <v>74000</v>
      </c>
      <c r="E197" s="242">
        <f t="shared" si="16"/>
        <v>94000</v>
      </c>
      <c r="F197" s="242">
        <f t="shared" si="16"/>
        <v>80000</v>
      </c>
      <c r="G197" s="242">
        <f t="shared" si="16"/>
        <v>77000</v>
      </c>
      <c r="H197" s="242">
        <f t="shared" si="16"/>
        <v>77000</v>
      </c>
      <c r="S197" s="333" t="s">
        <v>790</v>
      </c>
      <c r="T197" s="333" t="s">
        <v>886</v>
      </c>
      <c r="U197" s="431">
        <v>74</v>
      </c>
      <c r="V197" s="431">
        <v>72</v>
      </c>
      <c r="W197" s="431">
        <v>94</v>
      </c>
      <c r="X197" s="431">
        <v>77</v>
      </c>
      <c r="Y197" s="431">
        <v>92</v>
      </c>
      <c r="Z197" s="431">
        <v>83</v>
      </c>
    </row>
    <row r="198" spans="1:26" ht="28.2" thickBot="1">
      <c r="A198" s="232" t="s">
        <v>790</v>
      </c>
      <c r="B198" s="28">
        <v>6</v>
      </c>
      <c r="C198" s="242">
        <f t="shared" si="17"/>
        <v>74000</v>
      </c>
      <c r="D198" s="242">
        <f t="shared" si="16"/>
        <v>72000</v>
      </c>
      <c r="E198" s="242">
        <f t="shared" si="16"/>
        <v>94000</v>
      </c>
      <c r="F198" s="242">
        <f t="shared" si="16"/>
        <v>77000</v>
      </c>
      <c r="G198" s="242">
        <f t="shared" si="16"/>
        <v>92000</v>
      </c>
      <c r="H198" s="242">
        <f t="shared" si="16"/>
        <v>83000</v>
      </c>
      <c r="S198" s="333" t="s">
        <v>620</v>
      </c>
      <c r="T198" s="333" t="s">
        <v>887</v>
      </c>
      <c r="U198" s="431">
        <v>103</v>
      </c>
      <c r="V198" s="431">
        <v>88</v>
      </c>
      <c r="W198" s="431">
        <v>94</v>
      </c>
      <c r="X198" s="431">
        <v>68</v>
      </c>
      <c r="Y198" s="431">
        <v>69</v>
      </c>
      <c r="Z198" s="431">
        <v>71</v>
      </c>
    </row>
    <row r="199" spans="1:26" ht="28.2" thickBot="1">
      <c r="A199" s="232" t="s">
        <v>620</v>
      </c>
      <c r="B199" s="28">
        <v>7</v>
      </c>
      <c r="C199" s="242">
        <f t="shared" si="17"/>
        <v>103000</v>
      </c>
      <c r="D199" s="242">
        <f t="shared" si="16"/>
        <v>88000</v>
      </c>
      <c r="E199" s="242">
        <f t="shared" si="16"/>
        <v>94000</v>
      </c>
      <c r="F199" s="242">
        <f t="shared" si="16"/>
        <v>68000</v>
      </c>
      <c r="G199" s="242">
        <f t="shared" si="16"/>
        <v>69000</v>
      </c>
      <c r="H199" s="242">
        <f t="shared" si="16"/>
        <v>71000</v>
      </c>
      <c r="S199" s="333" t="s">
        <v>791</v>
      </c>
      <c r="T199" s="333" t="s">
        <v>888</v>
      </c>
      <c r="U199" s="431">
        <v>72</v>
      </c>
      <c r="V199" s="431">
        <v>74</v>
      </c>
      <c r="W199" s="431">
        <v>94</v>
      </c>
      <c r="X199" s="431">
        <v>97</v>
      </c>
      <c r="Y199" s="431">
        <v>100</v>
      </c>
      <c r="Z199" s="431">
        <v>97</v>
      </c>
    </row>
    <row r="200" spans="1:26" ht="28.2" thickBot="1">
      <c r="A200" s="232" t="s">
        <v>791</v>
      </c>
      <c r="B200" s="28">
        <v>8</v>
      </c>
      <c r="C200" s="242">
        <f t="shared" si="17"/>
        <v>72000</v>
      </c>
      <c r="D200" s="242">
        <f t="shared" si="16"/>
        <v>74000</v>
      </c>
      <c r="E200" s="242">
        <f t="shared" si="16"/>
        <v>94000</v>
      </c>
      <c r="F200" s="242">
        <f t="shared" si="16"/>
        <v>97000</v>
      </c>
      <c r="G200" s="242">
        <f t="shared" si="16"/>
        <v>100000</v>
      </c>
      <c r="H200" s="242">
        <f t="shared" si="16"/>
        <v>97000</v>
      </c>
      <c r="S200" s="333" t="s">
        <v>792</v>
      </c>
      <c r="T200" s="333" t="s">
        <v>889</v>
      </c>
      <c r="U200" s="431">
        <v>72</v>
      </c>
      <c r="V200" s="431">
        <v>77</v>
      </c>
      <c r="W200" s="431">
        <v>109</v>
      </c>
      <c r="X200" s="431">
        <v>86</v>
      </c>
      <c r="Y200" s="431">
        <v>89</v>
      </c>
      <c r="Z200" s="431">
        <v>89</v>
      </c>
    </row>
    <row r="201" spans="1:26" ht="42" thickBot="1">
      <c r="A201" s="232" t="s">
        <v>792</v>
      </c>
      <c r="B201" s="28">
        <v>9</v>
      </c>
      <c r="C201" s="242">
        <f t="shared" si="17"/>
        <v>72000</v>
      </c>
      <c r="D201" s="242">
        <f t="shared" si="16"/>
        <v>77000</v>
      </c>
      <c r="E201" s="242">
        <f t="shared" si="16"/>
        <v>109000</v>
      </c>
      <c r="F201" s="242">
        <f t="shared" si="16"/>
        <v>86000</v>
      </c>
      <c r="G201" s="242">
        <f t="shared" si="16"/>
        <v>89000</v>
      </c>
      <c r="H201" s="242">
        <f t="shared" si="16"/>
        <v>89000</v>
      </c>
      <c r="S201" s="333" t="s">
        <v>793</v>
      </c>
      <c r="T201" s="333" t="s">
        <v>890</v>
      </c>
      <c r="U201" s="431">
        <v>72</v>
      </c>
      <c r="V201" s="431">
        <v>80</v>
      </c>
      <c r="W201" s="431">
        <v>86</v>
      </c>
      <c r="X201" s="431">
        <v>83</v>
      </c>
      <c r="Y201" s="431">
        <v>97</v>
      </c>
      <c r="Z201" s="431">
        <v>92</v>
      </c>
    </row>
    <row r="202" spans="1:26" ht="34.799999999999997" thickBot="1">
      <c r="A202" s="232" t="s">
        <v>793</v>
      </c>
      <c r="B202" s="28">
        <v>10</v>
      </c>
      <c r="C202" s="242">
        <f t="shared" si="17"/>
        <v>72000</v>
      </c>
      <c r="D202" s="242">
        <f t="shared" si="16"/>
        <v>80000</v>
      </c>
      <c r="E202" s="242">
        <f t="shared" si="16"/>
        <v>86000</v>
      </c>
      <c r="F202" s="242">
        <f t="shared" si="16"/>
        <v>83000</v>
      </c>
      <c r="G202" s="242">
        <f t="shared" si="16"/>
        <v>97000</v>
      </c>
      <c r="H202" s="242">
        <f t="shared" si="16"/>
        <v>92000</v>
      </c>
      <c r="S202" s="333" t="s">
        <v>794</v>
      </c>
      <c r="T202" s="333" t="s">
        <v>768</v>
      </c>
      <c r="U202" s="431">
        <v>68</v>
      </c>
      <c r="V202" s="431">
        <v>71</v>
      </c>
      <c r="W202" s="431">
        <v>88</v>
      </c>
      <c r="X202" s="431">
        <v>92</v>
      </c>
      <c r="Y202" s="431">
        <v>106</v>
      </c>
      <c r="Z202" s="431">
        <v>100</v>
      </c>
    </row>
    <row r="203" spans="1:26" ht="28.2" thickBot="1">
      <c r="A203" s="232" t="s">
        <v>794</v>
      </c>
      <c r="B203" s="28">
        <v>11</v>
      </c>
      <c r="C203" s="242">
        <f t="shared" si="17"/>
        <v>68000</v>
      </c>
      <c r="D203" s="242">
        <f t="shared" si="16"/>
        <v>71000</v>
      </c>
      <c r="E203" s="242">
        <f t="shared" si="16"/>
        <v>88000</v>
      </c>
      <c r="F203" s="242">
        <f t="shared" si="16"/>
        <v>92000</v>
      </c>
      <c r="G203" s="242">
        <f t="shared" si="16"/>
        <v>106000</v>
      </c>
      <c r="H203" s="242">
        <f t="shared" si="16"/>
        <v>100000</v>
      </c>
      <c r="S203" s="333" t="s">
        <v>795</v>
      </c>
      <c r="T203" s="333" t="s">
        <v>891</v>
      </c>
      <c r="U203" s="431">
        <v>69</v>
      </c>
      <c r="V203" s="431">
        <v>77</v>
      </c>
      <c r="W203" s="431">
        <v>120</v>
      </c>
      <c r="X203" s="431">
        <v>86</v>
      </c>
      <c r="Y203" s="431">
        <v>103</v>
      </c>
      <c r="Z203" s="431">
        <v>100</v>
      </c>
    </row>
    <row r="204" spans="1:26" ht="42" thickBot="1">
      <c r="A204" s="232" t="s">
        <v>795</v>
      </c>
      <c r="B204" s="28">
        <v>12</v>
      </c>
      <c r="C204" s="242">
        <f t="shared" si="17"/>
        <v>69000</v>
      </c>
      <c r="D204" s="242">
        <f t="shared" si="16"/>
        <v>77000</v>
      </c>
      <c r="E204" s="242">
        <f t="shared" si="16"/>
        <v>120000</v>
      </c>
      <c r="F204" s="242">
        <f t="shared" si="16"/>
        <v>86000</v>
      </c>
      <c r="G204" s="242">
        <f t="shared" si="16"/>
        <v>103000</v>
      </c>
      <c r="H204" s="242">
        <f t="shared" si="16"/>
        <v>100000</v>
      </c>
      <c r="S204" s="333" t="s">
        <v>643</v>
      </c>
      <c r="T204" s="333"/>
      <c r="U204" s="431">
        <v>72</v>
      </c>
      <c r="V204" s="431">
        <v>72</v>
      </c>
      <c r="W204" s="431">
        <v>94</v>
      </c>
      <c r="X204" s="431">
        <v>80</v>
      </c>
      <c r="Y204" s="431">
        <v>89</v>
      </c>
      <c r="Z204" s="431">
        <v>86</v>
      </c>
    </row>
    <row r="205" spans="1:26" ht="34.799999999999997" thickBot="1">
      <c r="A205" s="232" t="s">
        <v>643</v>
      </c>
      <c r="B205" s="28">
        <v>13</v>
      </c>
      <c r="C205" s="242">
        <f t="shared" si="17"/>
        <v>72000</v>
      </c>
      <c r="D205" s="242">
        <f t="shared" si="16"/>
        <v>72000</v>
      </c>
      <c r="E205" s="242">
        <f t="shared" si="16"/>
        <v>94000</v>
      </c>
      <c r="F205" s="242">
        <f t="shared" si="16"/>
        <v>80000</v>
      </c>
      <c r="G205" s="242">
        <f t="shared" si="16"/>
        <v>89000</v>
      </c>
      <c r="H205" s="242">
        <f t="shared" si="16"/>
        <v>86000</v>
      </c>
      <c r="S205" s="426"/>
      <c r="T205" s="426"/>
      <c r="U205" s="426"/>
      <c r="V205" s="426"/>
      <c r="W205" s="426"/>
      <c r="X205" s="426"/>
      <c r="Y205" s="426"/>
      <c r="Z205" s="426"/>
    </row>
    <row r="206" spans="1:26" ht="16.2" thickBot="1">
      <c r="A206" s="240"/>
      <c r="B206" s="28">
        <v>14</v>
      </c>
      <c r="S206" s="331" t="s">
        <v>906</v>
      </c>
      <c r="T206"/>
      <c r="U206"/>
      <c r="V206"/>
      <c r="W206"/>
      <c r="X206"/>
      <c r="Y206"/>
      <c r="Z206"/>
    </row>
    <row r="207" spans="1:26" ht="83.4" thickBot="1">
      <c r="A207" s="237" t="s">
        <v>816</v>
      </c>
      <c r="B207" s="237" t="s">
        <v>817</v>
      </c>
      <c r="S207" s="434" t="s">
        <v>903</v>
      </c>
      <c r="T207" s="432"/>
      <c r="U207" s="432" t="s">
        <v>894</v>
      </c>
      <c r="V207" s="432"/>
      <c r="W207" s="432"/>
      <c r="X207" s="432"/>
      <c r="Y207" s="432"/>
      <c r="Z207" s="432"/>
    </row>
    <row r="208" spans="1:26" ht="34.35" customHeight="1" thickBot="1">
      <c r="A208" s="843" t="s">
        <v>818</v>
      </c>
      <c r="B208" s="844"/>
      <c r="C208" s="843" t="s">
        <v>908</v>
      </c>
      <c r="D208" s="845"/>
      <c r="E208" s="845"/>
      <c r="F208" s="845"/>
      <c r="G208" s="845"/>
      <c r="H208" s="844"/>
      <c r="S208" s="435" t="s">
        <v>907</v>
      </c>
      <c r="T208" s="424"/>
      <c r="U208" s="424"/>
      <c r="V208" s="424"/>
      <c r="W208" s="424"/>
      <c r="X208" s="424"/>
      <c r="Y208" s="424"/>
      <c r="Z208" s="424"/>
    </row>
    <row r="209" spans="1:26" ht="42" thickBot="1">
      <c r="A209" s="243" t="s">
        <v>605</v>
      </c>
      <c r="B209" s="233" t="s">
        <v>723</v>
      </c>
      <c r="C209" s="233" t="s">
        <v>779</v>
      </c>
      <c r="D209" s="233" t="s">
        <v>780</v>
      </c>
      <c r="E209" s="233" t="s">
        <v>781</v>
      </c>
      <c r="F209" s="233" t="s">
        <v>782</v>
      </c>
      <c r="G209" s="233" t="s">
        <v>789</v>
      </c>
      <c r="H209" s="233" t="s">
        <v>608</v>
      </c>
      <c r="S209" s="436" t="s">
        <v>605</v>
      </c>
      <c r="T209" s="427" t="s">
        <v>723</v>
      </c>
      <c r="U209" s="427" t="s">
        <v>881</v>
      </c>
      <c r="V209" s="427" t="s">
        <v>882</v>
      </c>
      <c r="W209" s="427" t="s">
        <v>781</v>
      </c>
      <c r="X209" s="427" t="s">
        <v>782</v>
      </c>
      <c r="Y209" s="427" t="s">
        <v>883</v>
      </c>
      <c r="Z209" s="427" t="s">
        <v>608</v>
      </c>
    </row>
    <row r="210" spans="1:26" ht="14.4" thickBot="1">
      <c r="A210" s="232" t="s">
        <v>785</v>
      </c>
      <c r="B210" s="28">
        <v>1</v>
      </c>
      <c r="C210" s="242">
        <f>U210*1000</f>
        <v>1900</v>
      </c>
      <c r="D210" s="242">
        <f t="shared" ref="D210:H222" si="18">V210*1000</f>
        <v>2400</v>
      </c>
      <c r="E210" s="242">
        <f t="shared" si="18"/>
        <v>6400</v>
      </c>
      <c r="F210" s="242">
        <f t="shared" si="18"/>
        <v>11300</v>
      </c>
      <c r="G210" s="242">
        <f t="shared" si="18"/>
        <v>3600</v>
      </c>
      <c r="H210" s="242">
        <f t="shared" si="18"/>
        <v>5200</v>
      </c>
      <c r="S210" s="333" t="s">
        <v>785</v>
      </c>
      <c r="T210" s="333" t="s">
        <v>884</v>
      </c>
      <c r="U210" s="433">
        <v>1.9</v>
      </c>
      <c r="V210" s="433">
        <v>2.4</v>
      </c>
      <c r="W210" s="433">
        <v>6.4</v>
      </c>
      <c r="X210" s="433">
        <v>11.3</v>
      </c>
      <c r="Y210" s="433">
        <v>3.6</v>
      </c>
      <c r="Z210" s="433">
        <v>5.2</v>
      </c>
    </row>
    <row r="211" spans="1:26" ht="14.4" thickBot="1">
      <c r="A211" s="232" t="s">
        <v>786</v>
      </c>
      <c r="B211" s="28">
        <v>2</v>
      </c>
      <c r="C211" s="242">
        <f t="shared" ref="C211:C222" si="19">U211*1000</f>
        <v>1900</v>
      </c>
      <c r="D211" s="242">
        <f t="shared" si="18"/>
        <v>2400</v>
      </c>
      <c r="E211" s="242">
        <f t="shared" si="18"/>
        <v>7300</v>
      </c>
      <c r="F211" s="242">
        <f t="shared" si="18"/>
        <v>10000</v>
      </c>
      <c r="G211" s="242">
        <f t="shared" si="18"/>
        <v>2900</v>
      </c>
      <c r="H211" s="242">
        <f t="shared" si="18"/>
        <v>3700</v>
      </c>
      <c r="J211" s="241">
        <f ca="1">IF(I212=0,0,OFFSET(B209,$J$87,$M$87))</f>
        <v>0</v>
      </c>
      <c r="S211" s="333" t="s">
        <v>786</v>
      </c>
      <c r="T211" s="333" t="s">
        <v>654</v>
      </c>
      <c r="U211" s="433">
        <v>1.9</v>
      </c>
      <c r="V211" s="433">
        <v>2.4</v>
      </c>
      <c r="W211" s="433">
        <v>7.3</v>
      </c>
      <c r="X211" s="433">
        <v>10</v>
      </c>
      <c r="Y211" s="433">
        <v>2.9</v>
      </c>
      <c r="Z211" s="433">
        <v>3.7</v>
      </c>
    </row>
    <row r="212" spans="1:26" ht="42" thickBot="1">
      <c r="A212" s="232" t="s">
        <v>606</v>
      </c>
      <c r="B212" s="28">
        <v>3</v>
      </c>
      <c r="C212" s="242">
        <f t="shared" si="19"/>
        <v>1900</v>
      </c>
      <c r="D212" s="242">
        <f t="shared" si="18"/>
        <v>2000</v>
      </c>
      <c r="E212" s="242">
        <f t="shared" si="18"/>
        <v>3000</v>
      </c>
      <c r="F212" s="242">
        <f t="shared" si="18"/>
        <v>9200</v>
      </c>
      <c r="G212" s="242">
        <f t="shared" si="18"/>
        <v>1900</v>
      </c>
      <c r="H212" s="242">
        <f t="shared" si="18"/>
        <v>2300</v>
      </c>
      <c r="I212" s="28">
        <f>I89</f>
        <v>0</v>
      </c>
      <c r="S212" s="333" t="s">
        <v>606</v>
      </c>
      <c r="T212" s="333" t="s">
        <v>885</v>
      </c>
      <c r="U212" s="433">
        <v>1.9</v>
      </c>
      <c r="V212" s="433">
        <v>2</v>
      </c>
      <c r="W212" s="433">
        <v>3</v>
      </c>
      <c r="X212" s="433">
        <v>9.1999999999999993</v>
      </c>
      <c r="Y212" s="433">
        <v>1.9</v>
      </c>
      <c r="Z212" s="433">
        <v>2.2999999999999998</v>
      </c>
    </row>
    <row r="213" spans="1:26" ht="42" thickBot="1">
      <c r="A213" s="232" t="s">
        <v>787</v>
      </c>
      <c r="B213" s="28">
        <v>4</v>
      </c>
      <c r="C213" s="242">
        <f t="shared" si="19"/>
        <v>1900</v>
      </c>
      <c r="D213" s="242">
        <f t="shared" si="18"/>
        <v>2000</v>
      </c>
      <c r="E213" s="242">
        <f t="shared" si="18"/>
        <v>1500</v>
      </c>
      <c r="F213" s="242">
        <f t="shared" si="18"/>
        <v>9800</v>
      </c>
      <c r="G213" s="242">
        <f t="shared" si="18"/>
        <v>2500</v>
      </c>
      <c r="H213" s="242">
        <f>Z213*1000</f>
        <v>3700</v>
      </c>
      <c r="S213" s="333" t="s">
        <v>787</v>
      </c>
      <c r="T213" s="333" t="s">
        <v>733</v>
      </c>
      <c r="U213" s="433">
        <v>1.9</v>
      </c>
      <c r="V213" s="433">
        <v>2</v>
      </c>
      <c r="W213" s="433">
        <v>1.5</v>
      </c>
      <c r="X213" s="433">
        <v>9.8000000000000007</v>
      </c>
      <c r="Y213" s="433">
        <v>2.5</v>
      </c>
      <c r="Z213" s="433">
        <v>3.7</v>
      </c>
    </row>
    <row r="214" spans="1:26" ht="28.2" thickBot="1">
      <c r="A214" s="232" t="s">
        <v>788</v>
      </c>
      <c r="B214" s="28">
        <v>5</v>
      </c>
      <c r="C214" s="242">
        <f t="shared" si="19"/>
        <v>1900</v>
      </c>
      <c r="D214" s="242">
        <f t="shared" si="18"/>
        <v>2000</v>
      </c>
      <c r="E214" s="242">
        <f t="shared" si="18"/>
        <v>9900</v>
      </c>
      <c r="F214" s="242">
        <f t="shared" si="18"/>
        <v>9600</v>
      </c>
      <c r="G214" s="242">
        <f t="shared" si="18"/>
        <v>2400</v>
      </c>
      <c r="H214" s="242">
        <f t="shared" si="18"/>
        <v>5500</v>
      </c>
      <c r="S214" s="333" t="s">
        <v>788</v>
      </c>
      <c r="T214" s="333" t="s">
        <v>735</v>
      </c>
      <c r="U214" s="433">
        <v>1.9</v>
      </c>
      <c r="V214" s="433">
        <v>2</v>
      </c>
      <c r="W214" s="433">
        <v>9.9</v>
      </c>
      <c r="X214" s="433">
        <v>9.6</v>
      </c>
      <c r="Y214" s="433">
        <v>2.4</v>
      </c>
      <c r="Z214" s="433">
        <v>5.5</v>
      </c>
    </row>
    <row r="215" spans="1:26" ht="42" thickBot="1">
      <c r="A215" s="232" t="s">
        <v>790</v>
      </c>
      <c r="B215" s="28">
        <v>6</v>
      </c>
      <c r="C215" s="242">
        <f t="shared" si="19"/>
        <v>2200</v>
      </c>
      <c r="D215" s="242">
        <f t="shared" si="18"/>
        <v>2200</v>
      </c>
      <c r="E215" s="242">
        <f t="shared" si="18"/>
        <v>5900</v>
      </c>
      <c r="F215" s="242">
        <f t="shared" si="18"/>
        <v>10900</v>
      </c>
      <c r="G215" s="242">
        <f t="shared" si="18"/>
        <v>3600</v>
      </c>
      <c r="H215" s="242">
        <f t="shared" si="18"/>
        <v>5800</v>
      </c>
      <c r="S215" s="333" t="s">
        <v>790</v>
      </c>
      <c r="T215" s="333" t="s">
        <v>886</v>
      </c>
      <c r="U215" s="433">
        <v>2.2000000000000002</v>
      </c>
      <c r="V215" s="433">
        <v>2.2000000000000002</v>
      </c>
      <c r="W215" s="433">
        <v>5.9</v>
      </c>
      <c r="X215" s="433">
        <v>10.9</v>
      </c>
      <c r="Y215" s="433">
        <v>3.6</v>
      </c>
      <c r="Z215" s="433">
        <v>5.8</v>
      </c>
    </row>
    <row r="216" spans="1:26" ht="28.2" thickBot="1">
      <c r="A216" s="232" t="s">
        <v>620</v>
      </c>
      <c r="B216" s="28">
        <v>7</v>
      </c>
      <c r="C216" s="242">
        <f t="shared" si="19"/>
        <v>1900</v>
      </c>
      <c r="D216" s="242">
        <f t="shared" si="18"/>
        <v>2200</v>
      </c>
      <c r="E216" s="242">
        <f t="shared" si="18"/>
        <v>4300</v>
      </c>
      <c r="F216" s="242">
        <f t="shared" si="18"/>
        <v>9900</v>
      </c>
      <c r="G216" s="242">
        <f t="shared" si="18"/>
        <v>2100</v>
      </c>
      <c r="H216" s="242">
        <f t="shared" si="18"/>
        <v>4100</v>
      </c>
      <c r="S216" s="333" t="s">
        <v>620</v>
      </c>
      <c r="T216" s="333" t="s">
        <v>887</v>
      </c>
      <c r="U216" s="433">
        <v>1.9</v>
      </c>
      <c r="V216" s="433">
        <v>2.2000000000000002</v>
      </c>
      <c r="W216" s="433">
        <v>4.3</v>
      </c>
      <c r="X216" s="433">
        <v>9.9</v>
      </c>
      <c r="Y216" s="433">
        <v>2.1</v>
      </c>
      <c r="Z216" s="433">
        <v>4.0999999999999996</v>
      </c>
    </row>
    <row r="217" spans="1:26" ht="28.2" thickBot="1">
      <c r="A217" s="232" t="s">
        <v>791</v>
      </c>
      <c r="B217" s="28">
        <v>8</v>
      </c>
      <c r="C217" s="242">
        <f t="shared" si="19"/>
        <v>2000</v>
      </c>
      <c r="D217" s="242">
        <f t="shared" si="18"/>
        <v>2000</v>
      </c>
      <c r="E217" s="242">
        <f t="shared" si="18"/>
        <v>7600</v>
      </c>
      <c r="F217" s="242">
        <f t="shared" si="18"/>
        <v>11400</v>
      </c>
      <c r="G217" s="242">
        <f t="shared" si="18"/>
        <v>3600</v>
      </c>
      <c r="H217" s="242">
        <f t="shared" si="18"/>
        <v>4400</v>
      </c>
      <c r="S217" s="333" t="s">
        <v>791</v>
      </c>
      <c r="T217" s="333" t="s">
        <v>888</v>
      </c>
      <c r="U217" s="433">
        <v>2</v>
      </c>
      <c r="V217" s="433">
        <v>2</v>
      </c>
      <c r="W217" s="433">
        <v>7.6</v>
      </c>
      <c r="X217" s="433">
        <v>11.4</v>
      </c>
      <c r="Y217" s="433">
        <v>3.6</v>
      </c>
      <c r="Z217" s="433">
        <v>4.4000000000000004</v>
      </c>
    </row>
    <row r="218" spans="1:26" ht="28.2" thickBot="1">
      <c r="A218" s="232" t="s">
        <v>792</v>
      </c>
      <c r="B218" s="28">
        <v>9</v>
      </c>
      <c r="C218" s="242">
        <f t="shared" si="19"/>
        <v>1900</v>
      </c>
      <c r="D218" s="242">
        <f>V218*1000</f>
        <v>2800</v>
      </c>
      <c r="E218" s="242">
        <f t="shared" si="18"/>
        <v>6500</v>
      </c>
      <c r="F218" s="242">
        <f t="shared" si="18"/>
        <v>11000</v>
      </c>
      <c r="G218" s="242">
        <f t="shared" si="18"/>
        <v>3600</v>
      </c>
      <c r="H218" s="242">
        <f t="shared" si="18"/>
        <v>4300</v>
      </c>
      <c r="S218" s="333" t="s">
        <v>792</v>
      </c>
      <c r="T218" s="333" t="s">
        <v>889</v>
      </c>
      <c r="U218" s="433">
        <v>1.9</v>
      </c>
      <c r="V218" s="433">
        <v>2.8</v>
      </c>
      <c r="W218" s="433">
        <v>6.5</v>
      </c>
      <c r="X218" s="433">
        <v>11</v>
      </c>
      <c r="Y218" s="433">
        <v>3.6</v>
      </c>
      <c r="Z218" s="433">
        <v>4.3</v>
      </c>
    </row>
    <row r="219" spans="1:26" ht="42" thickBot="1">
      <c r="A219" s="232" t="s">
        <v>793</v>
      </c>
      <c r="B219" s="28">
        <v>10</v>
      </c>
      <c r="C219" s="242">
        <f t="shared" si="19"/>
        <v>1900</v>
      </c>
      <c r="D219" s="242">
        <f t="shared" si="18"/>
        <v>2000</v>
      </c>
      <c r="E219" s="242">
        <f t="shared" si="18"/>
        <v>7700</v>
      </c>
      <c r="F219" s="242">
        <f t="shared" si="18"/>
        <v>11100</v>
      </c>
      <c r="G219" s="242">
        <f t="shared" si="18"/>
        <v>3600</v>
      </c>
      <c r="H219" s="242">
        <f t="shared" si="18"/>
        <v>4800</v>
      </c>
      <c r="S219" s="333" t="s">
        <v>793</v>
      </c>
      <c r="T219" s="333" t="s">
        <v>890</v>
      </c>
      <c r="U219" s="433">
        <v>1.9</v>
      </c>
      <c r="V219" s="433">
        <v>2</v>
      </c>
      <c r="W219" s="433">
        <v>7.7</v>
      </c>
      <c r="X219" s="433">
        <v>11.1</v>
      </c>
      <c r="Y219" s="433">
        <v>3.6</v>
      </c>
      <c r="Z219" s="433">
        <v>4.8</v>
      </c>
    </row>
    <row r="220" spans="1:26" ht="28.2" thickBot="1">
      <c r="A220" s="232" t="s">
        <v>794</v>
      </c>
      <c r="B220" s="28">
        <v>11</v>
      </c>
      <c r="C220" s="242">
        <f t="shared" si="19"/>
        <v>1900</v>
      </c>
      <c r="D220" s="242">
        <f t="shared" si="18"/>
        <v>2200</v>
      </c>
      <c r="E220" s="242">
        <f t="shared" si="18"/>
        <v>7300</v>
      </c>
      <c r="F220" s="242">
        <f t="shared" si="18"/>
        <v>11200</v>
      </c>
      <c r="G220" s="242">
        <f t="shared" si="18"/>
        <v>3700</v>
      </c>
      <c r="H220" s="242">
        <f t="shared" si="18"/>
        <v>4600</v>
      </c>
      <c r="S220" s="333" t="s">
        <v>794</v>
      </c>
      <c r="T220" s="333" t="s">
        <v>768</v>
      </c>
      <c r="U220" s="433">
        <v>1.9</v>
      </c>
      <c r="V220" s="433">
        <v>2.2000000000000002</v>
      </c>
      <c r="W220" s="433">
        <v>7.3</v>
      </c>
      <c r="X220" s="433">
        <v>11.2</v>
      </c>
      <c r="Y220" s="433">
        <v>3.7</v>
      </c>
      <c r="Z220" s="433">
        <v>4.5999999999999996</v>
      </c>
    </row>
    <row r="221" spans="1:26" ht="28.2" thickBot="1">
      <c r="A221" s="232" t="s">
        <v>795</v>
      </c>
      <c r="B221" s="28">
        <v>12</v>
      </c>
      <c r="C221" s="242">
        <f t="shared" si="19"/>
        <v>1900</v>
      </c>
      <c r="D221" s="242">
        <f t="shared" si="18"/>
        <v>2000</v>
      </c>
      <c r="E221" s="242">
        <f t="shared" si="18"/>
        <v>4700</v>
      </c>
      <c r="F221" s="242">
        <f t="shared" si="18"/>
        <v>11000</v>
      </c>
      <c r="G221" s="242">
        <f t="shared" si="18"/>
        <v>3600</v>
      </c>
      <c r="H221" s="242">
        <f t="shared" si="18"/>
        <v>4600</v>
      </c>
      <c r="S221" s="333" t="s">
        <v>795</v>
      </c>
      <c r="T221" s="333" t="s">
        <v>891</v>
      </c>
      <c r="U221" s="433">
        <v>1.9</v>
      </c>
      <c r="V221" s="433">
        <v>2</v>
      </c>
      <c r="W221" s="433">
        <v>4.7</v>
      </c>
      <c r="X221" s="433">
        <v>11</v>
      </c>
      <c r="Y221" s="433">
        <v>3.6</v>
      </c>
      <c r="Z221" s="433">
        <v>4.5999999999999996</v>
      </c>
    </row>
    <row r="222" spans="1:26" ht="42" thickBot="1">
      <c r="A222" s="232" t="s">
        <v>643</v>
      </c>
      <c r="B222" s="28">
        <v>13</v>
      </c>
      <c r="C222" s="242">
        <f t="shared" si="19"/>
        <v>1900</v>
      </c>
      <c r="D222" s="242">
        <f t="shared" si="18"/>
        <v>2200</v>
      </c>
      <c r="E222" s="242">
        <f t="shared" si="18"/>
        <v>4300</v>
      </c>
      <c r="F222" s="242">
        <f t="shared" si="18"/>
        <v>10500</v>
      </c>
      <c r="G222" s="242">
        <f t="shared" si="18"/>
        <v>2800</v>
      </c>
      <c r="H222" s="242">
        <f t="shared" si="18"/>
        <v>3500</v>
      </c>
      <c r="S222" s="333" t="s">
        <v>643</v>
      </c>
      <c r="T222" s="333"/>
      <c r="U222" s="433">
        <v>1.9</v>
      </c>
      <c r="V222" s="433">
        <v>2.2000000000000002</v>
      </c>
      <c r="W222" s="433">
        <v>4.3</v>
      </c>
      <c r="X222" s="433">
        <v>10.5</v>
      </c>
      <c r="Y222" s="433">
        <v>2.8</v>
      </c>
      <c r="Z222" s="433">
        <v>3.5</v>
      </c>
    </row>
    <row r="223" spans="1:26">
      <c r="B223" s="28">
        <v>14</v>
      </c>
    </row>
    <row r="226" spans="1:8" ht="19.8">
      <c r="A226" s="238" t="s">
        <v>718</v>
      </c>
      <c r="B226" s="238" t="s">
        <v>719</v>
      </c>
    </row>
    <row r="227" spans="1:8">
      <c r="A227" s="237" t="s">
        <v>720</v>
      </c>
      <c r="B227" s="237" t="s">
        <v>721</v>
      </c>
    </row>
    <row r="228" spans="1:8" ht="13.8" thickBot="1">
      <c r="A228" s="237" t="s">
        <v>722</v>
      </c>
    </row>
    <row r="229" spans="1:8" ht="13.35" customHeight="1">
      <c r="A229" s="236" t="s">
        <v>605</v>
      </c>
      <c r="B229" s="236" t="s">
        <v>723</v>
      </c>
      <c r="C229" s="235" t="s">
        <v>724</v>
      </c>
      <c r="D229" s="235" t="s">
        <v>725</v>
      </c>
    </row>
    <row r="230" spans="1:8" ht="24" thickBot="1">
      <c r="A230" s="234"/>
      <c r="B230" s="234"/>
      <c r="C230" s="233" t="s">
        <v>726</v>
      </c>
      <c r="D230" s="233" t="s">
        <v>726</v>
      </c>
      <c r="F230" s="241" t="str">
        <f>IF('SP11-6'!E10="","",LOOKUP('SP11-6'!E10,{50,70,100},{"0","17","35"}))</f>
        <v/>
      </c>
      <c r="G230" s="241" t="str">
        <f ca="1">IF(F230="","",OFFSET(B230,J87+F230,1))</f>
        <v/>
      </c>
      <c r="H230" s="241" t="str">
        <f ca="1">IF(F230="","",OFFSET(B230,J87+F230,2))</f>
        <v/>
      </c>
    </row>
    <row r="231" spans="1:8" ht="13.8" thickBot="1">
      <c r="A231" s="232" t="s">
        <v>727</v>
      </c>
      <c r="B231" s="231" t="s">
        <v>728</v>
      </c>
      <c r="C231" s="231">
        <v>0.13</v>
      </c>
      <c r="D231" s="231">
        <v>0.87</v>
      </c>
    </row>
    <row r="232" spans="1:8" ht="13.8" thickBot="1">
      <c r="A232" s="232" t="s">
        <v>729</v>
      </c>
      <c r="B232" s="231" t="s">
        <v>654</v>
      </c>
      <c r="C232" s="231">
        <v>0.06</v>
      </c>
      <c r="D232" s="231">
        <v>0.94</v>
      </c>
    </row>
    <row r="233" spans="1:8" ht="34.799999999999997" thickBot="1">
      <c r="A233" s="232" t="s">
        <v>730</v>
      </c>
      <c r="B233" s="231" t="s">
        <v>731</v>
      </c>
      <c r="C233" s="231">
        <v>0.13</v>
      </c>
      <c r="D233" s="231">
        <v>0.87</v>
      </c>
    </row>
    <row r="234" spans="1:8" ht="34.799999999999997" thickBot="1">
      <c r="A234" s="232" t="s">
        <v>732</v>
      </c>
      <c r="B234" s="231" t="s">
        <v>733</v>
      </c>
      <c r="C234" s="231">
        <v>0.05</v>
      </c>
      <c r="D234" s="231">
        <v>0.95</v>
      </c>
    </row>
    <row r="235" spans="1:8" ht="23.4" thickBot="1">
      <c r="A235" s="232" t="s">
        <v>734</v>
      </c>
      <c r="B235" s="231" t="s">
        <v>735</v>
      </c>
      <c r="C235" s="231">
        <v>0.13</v>
      </c>
      <c r="D235" s="231">
        <v>0.87</v>
      </c>
    </row>
    <row r="236" spans="1:8" ht="23.4" thickBot="1">
      <c r="A236" s="232" t="s">
        <v>736</v>
      </c>
      <c r="B236" s="231" t="s">
        <v>737</v>
      </c>
      <c r="C236" s="231">
        <v>0.04</v>
      </c>
      <c r="D236" s="231">
        <v>0.96</v>
      </c>
    </row>
    <row r="237" spans="1:8" ht="13.8" thickBot="1">
      <c r="A237" s="232" t="s">
        <v>738</v>
      </c>
      <c r="B237" s="231" t="s">
        <v>739</v>
      </c>
      <c r="C237" s="231">
        <v>0.08</v>
      </c>
      <c r="D237" s="231">
        <v>0.92</v>
      </c>
    </row>
    <row r="238" spans="1:8" ht="23.4" thickBot="1">
      <c r="A238" s="232" t="s">
        <v>740</v>
      </c>
      <c r="B238" s="231" t="s">
        <v>741</v>
      </c>
      <c r="C238" s="231">
        <v>7.0000000000000007E-2</v>
      </c>
      <c r="D238" s="231">
        <v>0.93</v>
      </c>
    </row>
    <row r="239" spans="1:8" ht="23.4" thickBot="1">
      <c r="A239" s="232" t="s">
        <v>742</v>
      </c>
      <c r="B239" s="231" t="s">
        <v>743</v>
      </c>
      <c r="C239" s="231">
        <v>7.0000000000000007E-2</v>
      </c>
      <c r="D239" s="231">
        <v>0.93</v>
      </c>
    </row>
    <row r="240" spans="1:8" ht="34.799999999999997" thickBot="1">
      <c r="A240" s="232" t="s">
        <v>744</v>
      </c>
      <c r="B240" s="231" t="s">
        <v>745</v>
      </c>
      <c r="C240" s="231">
        <v>0.05</v>
      </c>
      <c r="D240" s="231">
        <v>0.95</v>
      </c>
    </row>
    <row r="241" spans="1:4" ht="23.4" thickBot="1">
      <c r="A241" s="232" t="s">
        <v>746</v>
      </c>
      <c r="B241" s="231" t="s">
        <v>747</v>
      </c>
      <c r="C241" s="231">
        <v>0.05</v>
      </c>
      <c r="D241" s="231">
        <v>0.95</v>
      </c>
    </row>
    <row r="242" spans="1:4" ht="23.4" thickBot="1">
      <c r="A242" s="232" t="s">
        <v>748</v>
      </c>
      <c r="B242" s="231" t="s">
        <v>749</v>
      </c>
      <c r="C242" s="231">
        <v>0.03</v>
      </c>
      <c r="D242" s="231">
        <v>0.97</v>
      </c>
    </row>
    <row r="243" spans="1:4" ht="34.799999999999997" thickBot="1">
      <c r="A243" s="232" t="s">
        <v>750</v>
      </c>
      <c r="B243" s="239"/>
      <c r="C243" s="231">
        <v>7.0000000000000007E-2</v>
      </c>
      <c r="D243" s="231">
        <v>0.93</v>
      </c>
    </row>
    <row r="244" spans="1:4">
      <c r="A244" s="240"/>
    </row>
    <row r="245" spans="1:4" ht="13.8" thickBot="1">
      <c r="A245" s="237" t="s">
        <v>751</v>
      </c>
      <c r="B245" s="237" t="s">
        <v>752</v>
      </c>
    </row>
    <row r="246" spans="1:4" ht="13.35" customHeight="1">
      <c r="A246" s="236" t="s">
        <v>605</v>
      </c>
      <c r="B246" s="236" t="s">
        <v>723</v>
      </c>
      <c r="C246" s="235" t="s">
        <v>724</v>
      </c>
      <c r="D246" s="235" t="s">
        <v>725</v>
      </c>
    </row>
    <row r="247" spans="1:4" ht="24" thickBot="1">
      <c r="A247" s="234"/>
      <c r="B247" s="234"/>
      <c r="C247" s="233" t="s">
        <v>726</v>
      </c>
      <c r="D247" s="233" t="s">
        <v>726</v>
      </c>
    </row>
    <row r="248" spans="1:4" ht="13.8" thickBot="1">
      <c r="A248" s="232" t="s">
        <v>727</v>
      </c>
      <c r="B248" s="231" t="s">
        <v>753</v>
      </c>
      <c r="C248" s="231">
        <v>0.24</v>
      </c>
      <c r="D248" s="231">
        <v>0.76</v>
      </c>
    </row>
    <row r="249" spans="1:4" ht="13.8" thickBot="1">
      <c r="A249" s="232" t="s">
        <v>729</v>
      </c>
      <c r="B249" s="231" t="s">
        <v>754</v>
      </c>
      <c r="C249" s="231">
        <v>0.1</v>
      </c>
      <c r="D249" s="231">
        <v>0.9</v>
      </c>
    </row>
    <row r="250" spans="1:4" ht="34.799999999999997" thickBot="1">
      <c r="A250" s="232" t="s">
        <v>755</v>
      </c>
      <c r="B250" s="231" t="s">
        <v>756</v>
      </c>
      <c r="C250" s="231">
        <v>0.1</v>
      </c>
      <c r="D250" s="231">
        <v>0.9</v>
      </c>
    </row>
    <row r="251" spans="1:4" ht="34.799999999999997" thickBot="1">
      <c r="A251" s="232" t="s">
        <v>732</v>
      </c>
      <c r="B251" s="231" t="s">
        <v>757</v>
      </c>
      <c r="C251" s="231">
        <v>0.1</v>
      </c>
      <c r="D251" s="231">
        <v>0.9</v>
      </c>
    </row>
    <row r="252" spans="1:4" ht="23.4" thickBot="1">
      <c r="A252" s="232" t="s">
        <v>734</v>
      </c>
      <c r="B252" s="231" t="s">
        <v>758</v>
      </c>
      <c r="C252" s="231">
        <v>0.2</v>
      </c>
      <c r="D252" s="231">
        <v>0.8</v>
      </c>
    </row>
    <row r="253" spans="1:4" ht="23.4" thickBot="1">
      <c r="A253" s="232" t="s">
        <v>736</v>
      </c>
      <c r="B253" s="231" t="s">
        <v>737</v>
      </c>
      <c r="C253" s="231">
        <v>0.08</v>
      </c>
      <c r="D253" s="231">
        <v>0.92</v>
      </c>
    </row>
    <row r="254" spans="1:4" ht="13.8" thickBot="1">
      <c r="A254" s="232" t="s">
        <v>738</v>
      </c>
      <c r="B254" s="231" t="s">
        <v>739</v>
      </c>
      <c r="C254" s="231">
        <v>0.26</v>
      </c>
      <c r="D254" s="231">
        <v>0.74</v>
      </c>
    </row>
    <row r="255" spans="1:4" ht="23.4" thickBot="1">
      <c r="A255" s="232" t="s">
        <v>740</v>
      </c>
      <c r="B255" s="231" t="s">
        <v>741</v>
      </c>
      <c r="C255" s="231">
        <v>0.11</v>
      </c>
      <c r="D255" s="231">
        <v>0.89</v>
      </c>
    </row>
    <row r="256" spans="1:4" ht="23.4" thickBot="1">
      <c r="A256" s="232" t="s">
        <v>742</v>
      </c>
      <c r="B256" s="231" t="s">
        <v>743</v>
      </c>
      <c r="C256" s="231">
        <v>0.11</v>
      </c>
      <c r="D256" s="231">
        <v>0.89</v>
      </c>
    </row>
    <row r="257" spans="1:4" ht="34.799999999999997" thickBot="1">
      <c r="A257" s="232" t="s">
        <v>744</v>
      </c>
      <c r="B257" s="231" t="s">
        <v>745</v>
      </c>
      <c r="C257" s="231">
        <v>0.1</v>
      </c>
      <c r="D257" s="231">
        <v>0.9</v>
      </c>
    </row>
    <row r="258" spans="1:4" ht="23.4" thickBot="1">
      <c r="A258" s="232" t="s">
        <v>746</v>
      </c>
      <c r="B258" s="231" t="s">
        <v>747</v>
      </c>
      <c r="C258" s="231">
        <v>0.09</v>
      </c>
      <c r="D258" s="231">
        <v>0.91</v>
      </c>
    </row>
    <row r="259" spans="1:4" ht="23.4" thickBot="1">
      <c r="A259" s="232" t="s">
        <v>748</v>
      </c>
      <c r="B259" s="231" t="s">
        <v>749</v>
      </c>
      <c r="C259" s="231">
        <v>0.1</v>
      </c>
      <c r="D259" s="231">
        <v>0.9</v>
      </c>
    </row>
    <row r="260" spans="1:4" ht="34.799999999999997" thickBot="1">
      <c r="A260" s="232" t="s">
        <v>750</v>
      </c>
      <c r="B260" s="239"/>
      <c r="C260" s="231">
        <v>0.14000000000000001</v>
      </c>
      <c r="D260" s="231">
        <v>0.86</v>
      </c>
    </row>
    <row r="261" spans="1:4" ht="19.8">
      <c r="A261" s="238"/>
    </row>
    <row r="262" spans="1:4" ht="19.8">
      <c r="A262" s="238" t="s">
        <v>718</v>
      </c>
      <c r="B262" s="238" t="s">
        <v>719</v>
      </c>
    </row>
    <row r="263" spans="1:4" ht="13.8" thickBot="1">
      <c r="A263" s="237" t="s">
        <v>759</v>
      </c>
      <c r="B263" s="237" t="s">
        <v>760</v>
      </c>
    </row>
    <row r="264" spans="1:4" ht="13.35" customHeight="1">
      <c r="A264" s="236" t="s">
        <v>605</v>
      </c>
      <c r="B264" s="236" t="s">
        <v>723</v>
      </c>
      <c r="C264" s="235" t="s">
        <v>761</v>
      </c>
      <c r="D264" s="235" t="s">
        <v>762</v>
      </c>
    </row>
    <row r="265" spans="1:4" ht="24" thickBot="1">
      <c r="A265" s="234"/>
      <c r="B265" s="234"/>
      <c r="C265" s="233" t="s">
        <v>726</v>
      </c>
      <c r="D265" s="233" t="s">
        <v>726</v>
      </c>
    </row>
    <row r="266" spans="1:4" ht="13.8" thickBot="1">
      <c r="A266" s="232" t="s">
        <v>727</v>
      </c>
      <c r="B266" s="231" t="s">
        <v>728</v>
      </c>
      <c r="C266" s="231">
        <v>0.36</v>
      </c>
      <c r="D266" s="231">
        <v>0.64</v>
      </c>
    </row>
    <row r="267" spans="1:4" ht="13.8" thickBot="1">
      <c r="A267" s="232" t="s">
        <v>729</v>
      </c>
      <c r="B267" s="231" t="s">
        <v>654</v>
      </c>
      <c r="C267" s="231">
        <v>0.16</v>
      </c>
      <c r="D267" s="231">
        <v>0.84</v>
      </c>
    </row>
    <row r="268" spans="1:4" ht="34.799999999999997" thickBot="1">
      <c r="A268" s="232" t="s">
        <v>755</v>
      </c>
      <c r="B268" s="231" t="s">
        <v>731</v>
      </c>
      <c r="C268" s="231">
        <v>0.17</v>
      </c>
      <c r="D268" s="231">
        <v>0.83</v>
      </c>
    </row>
    <row r="269" spans="1:4" ht="34.799999999999997" thickBot="1">
      <c r="A269" s="232" t="s">
        <v>732</v>
      </c>
      <c r="B269" s="231" t="s">
        <v>733</v>
      </c>
      <c r="C269" s="231">
        <v>0.14000000000000001</v>
      </c>
      <c r="D269" s="231">
        <v>0.86</v>
      </c>
    </row>
    <row r="270" spans="1:4" ht="23.4" thickBot="1">
      <c r="A270" s="232" t="s">
        <v>734</v>
      </c>
      <c r="B270" s="231" t="s">
        <v>735</v>
      </c>
      <c r="C270" s="231">
        <v>0.26</v>
      </c>
      <c r="D270" s="231">
        <v>0.74</v>
      </c>
    </row>
    <row r="271" spans="1:4" ht="23.4" thickBot="1">
      <c r="A271" s="232" t="s">
        <v>736</v>
      </c>
      <c r="B271" s="231" t="s">
        <v>763</v>
      </c>
      <c r="C271" s="231">
        <v>0.12</v>
      </c>
      <c r="D271" s="231">
        <v>0.88</v>
      </c>
    </row>
    <row r="272" spans="1:4" ht="13.8" thickBot="1">
      <c r="A272" s="232" t="s">
        <v>738</v>
      </c>
      <c r="B272" s="231" t="s">
        <v>764</v>
      </c>
      <c r="C272" s="231">
        <v>0.44</v>
      </c>
      <c r="D272" s="231">
        <v>0.56000000000000005</v>
      </c>
    </row>
    <row r="273" spans="1:18" ht="23.4" thickBot="1">
      <c r="A273" s="232" t="s">
        <v>740</v>
      </c>
      <c r="B273" s="231" t="s">
        <v>765</v>
      </c>
      <c r="C273" s="231">
        <v>0.14000000000000001</v>
      </c>
      <c r="D273" s="231">
        <v>0.86</v>
      </c>
    </row>
    <row r="274" spans="1:18" ht="23.4" thickBot="1">
      <c r="A274" s="232" t="s">
        <v>742</v>
      </c>
      <c r="B274" s="231" t="s">
        <v>766</v>
      </c>
      <c r="C274" s="231">
        <v>0.14000000000000001</v>
      </c>
      <c r="D274" s="231">
        <v>0.86</v>
      </c>
    </row>
    <row r="275" spans="1:18" ht="34.799999999999997" thickBot="1">
      <c r="A275" s="232" t="s">
        <v>744</v>
      </c>
      <c r="B275" s="231" t="s">
        <v>767</v>
      </c>
      <c r="C275" s="231">
        <v>0.14000000000000001</v>
      </c>
      <c r="D275" s="231">
        <v>0.86</v>
      </c>
    </row>
    <row r="276" spans="1:18" ht="23.4" thickBot="1">
      <c r="A276" s="232" t="s">
        <v>746</v>
      </c>
      <c r="B276" s="231" t="s">
        <v>768</v>
      </c>
      <c r="C276" s="231">
        <v>0.13</v>
      </c>
      <c r="D276" s="231">
        <v>0.87</v>
      </c>
    </row>
    <row r="277" spans="1:18" ht="23.4" thickBot="1">
      <c r="A277" s="232" t="s">
        <v>748</v>
      </c>
      <c r="B277" s="231" t="s">
        <v>769</v>
      </c>
      <c r="C277" s="231">
        <v>0.16</v>
      </c>
      <c r="D277" s="231">
        <v>0.84</v>
      </c>
    </row>
    <row r="278" spans="1:18" ht="34.799999999999997" thickBot="1">
      <c r="A278" s="232" t="s">
        <v>750</v>
      </c>
      <c r="B278" s="231"/>
      <c r="C278" s="231">
        <v>0.2</v>
      </c>
      <c r="D278" s="231">
        <v>0.8</v>
      </c>
    </row>
    <row r="279" spans="1:18">
      <c r="F279" s="28" t="s">
        <v>819</v>
      </c>
      <c r="I279" s="229">
        <v>1</v>
      </c>
      <c r="J279" s="28" t="s">
        <v>142</v>
      </c>
      <c r="K279" s="309">
        <f>(1-(1+H$280)^(-I279)) / (LN(1+H$280))</f>
        <v>0.98064352657801512</v>
      </c>
      <c r="L279" s="28" t="s">
        <v>820</v>
      </c>
    </row>
    <row r="280" spans="1:18" ht="13.8" thickBot="1">
      <c r="F280" s="28" t="s">
        <v>134</v>
      </c>
      <c r="H280" s="230">
        <f>'SP11-1'!I29</f>
        <v>0.04</v>
      </c>
      <c r="I280" s="229">
        <f>I285</f>
        <v>0</v>
      </c>
      <c r="J280" s="28" t="s">
        <v>143</v>
      </c>
      <c r="K280" s="310">
        <f>(1-(1+H$280)^(-I280)) / (LN(1+H$280))</f>
        <v>0</v>
      </c>
      <c r="L280" s="28" t="s">
        <v>134</v>
      </c>
      <c r="N280" s="230">
        <f>H280</f>
        <v>0.04</v>
      </c>
      <c r="Q280" s="28">
        <v>0.04</v>
      </c>
      <c r="R280" s="28">
        <v>0.08</v>
      </c>
    </row>
    <row r="281" spans="1:18" ht="13.8" thickBot="1">
      <c r="A281" s="227"/>
      <c r="F281" s="28" t="s">
        <v>821</v>
      </c>
      <c r="G281" s="28" t="s">
        <v>822</v>
      </c>
      <c r="H281" s="28" t="s">
        <v>823</v>
      </c>
      <c r="I281" s="229"/>
      <c r="J281" s="28" t="s">
        <v>824</v>
      </c>
      <c r="K281" s="28">
        <v>0.96150000000000002</v>
      </c>
      <c r="N281" s="28" t="s">
        <v>821</v>
      </c>
      <c r="O281" s="28" t="s">
        <v>822</v>
      </c>
      <c r="P281" s="28" t="s">
        <v>823</v>
      </c>
    </row>
    <row r="282" spans="1:18" ht="13.8" thickBot="1">
      <c r="A282" s="224"/>
      <c r="B282" s="226"/>
      <c r="D282" s="65" t="s">
        <v>825</v>
      </c>
      <c r="E282" s="28">
        <v>1</v>
      </c>
      <c r="F282" s="28">
        <v>0</v>
      </c>
      <c r="I282" s="229">
        <f>'SP11-1'!I28</f>
        <v>0</v>
      </c>
      <c r="J282" s="28" t="s">
        <v>144</v>
      </c>
      <c r="K282" s="28">
        <f>((LN(1+H$280))^-2)-(I282*(1+H$280)^(I282*(-1))*(LN((1+H$280))^-1))-((1+H$280)^(I282*(-1))*(LN(1+H$280))^-2)</f>
        <v>0</v>
      </c>
      <c r="L282" s="65" t="s">
        <v>825</v>
      </c>
      <c r="M282" s="28">
        <v>1</v>
      </c>
      <c r="N282" s="28">
        <v>0</v>
      </c>
    </row>
    <row r="283" spans="1:18" ht="13.8" thickBot="1">
      <c r="A283" s="224"/>
      <c r="B283" s="222"/>
      <c r="D283" s="65" t="s">
        <v>826</v>
      </c>
      <c r="E283" s="28">
        <v>2</v>
      </c>
      <c r="F283" s="28" t="str">
        <f>IF('SP11-3 (1)'!B20="","no number",'SP11-3 (1)'!B20)</f>
        <v>no number</v>
      </c>
      <c r="G283" s="28" t="str">
        <f t="shared" ref="G283:G291" si="20">IF(F283&lt;F$282,"no number",IF(F283="no number","no number",F283-$F$282))</f>
        <v>no number</v>
      </c>
      <c r="H283" s="228" t="str">
        <f t="shared" ref="H283:H291" si="21">IF(G283="no number","",(1/((1+$H$280)^(G283))))</f>
        <v/>
      </c>
      <c r="I283" s="229">
        <v>1</v>
      </c>
      <c r="J283" s="28" t="s">
        <v>145</v>
      </c>
      <c r="K283" s="28">
        <f>((LN(1+H$280))^-2)-(I283*(1+H$280)^(I283*(-1))*(LN((1+H$280))^-1))-((1+H$280)^(I283*(-1))*(LN(1+H$280))^-2)</f>
        <v>0.48711671725311589</v>
      </c>
      <c r="L283" s="65" t="s">
        <v>826</v>
      </c>
      <c r="M283" s="28">
        <v>2</v>
      </c>
      <c r="N283" s="28" t="str">
        <f>IF('SP11-2'!B23="","no number",'SP11-2'!B23)</f>
        <v>no number</v>
      </c>
      <c r="O283" s="28" t="str">
        <f t="shared" ref="O283:O291" si="22">IF(N283&lt;N$282,"no number",IF(N283="no number","no number",N283-$N$282))</f>
        <v>no number</v>
      </c>
      <c r="P283" s="225" t="str">
        <f t="shared" ref="P283:P291" si="23">IF(O283="no number","",(1/((1+$N$280)^(O283))))</f>
        <v/>
      </c>
      <c r="Q283" s="225" t="str">
        <f t="shared" ref="Q283:R291" si="24">IF($O283="no number","",(1/((1+Q$280)^($O283))))</f>
        <v/>
      </c>
      <c r="R283" s="225" t="str">
        <f t="shared" si="24"/>
        <v/>
      </c>
    </row>
    <row r="284" spans="1:18" ht="13.8" thickBot="1">
      <c r="A284" s="224"/>
      <c r="B284" s="222"/>
      <c r="D284" s="65" t="s">
        <v>827</v>
      </c>
      <c r="E284" s="28">
        <v>3</v>
      </c>
      <c r="F284" s="28" t="str">
        <f>IF('SP11-3 (1)'!B21="","no number",'SP11-3 (1)'!B21)</f>
        <v>no number</v>
      </c>
      <c r="G284" s="28" t="str">
        <f t="shared" si="20"/>
        <v>no number</v>
      </c>
      <c r="H284" s="228" t="str">
        <f t="shared" si="21"/>
        <v/>
      </c>
      <c r="I284" s="229" t="s">
        <v>828</v>
      </c>
      <c r="L284" s="65" t="s">
        <v>827</v>
      </c>
      <c r="M284" s="28">
        <v>3</v>
      </c>
      <c r="N284" s="28" t="str">
        <f>IF('SP11-2'!B24="","no number",'SP11-2'!B24)</f>
        <v>no number</v>
      </c>
      <c r="O284" s="28" t="str">
        <f t="shared" si="22"/>
        <v>no number</v>
      </c>
      <c r="P284" s="225" t="str">
        <f t="shared" si="23"/>
        <v/>
      </c>
      <c r="Q284" s="225" t="str">
        <f t="shared" si="24"/>
        <v/>
      </c>
      <c r="R284" s="225" t="str">
        <f t="shared" si="24"/>
        <v/>
      </c>
    </row>
    <row r="285" spans="1:18" ht="13.8" thickBot="1">
      <c r="A285" s="224"/>
      <c r="B285" s="222"/>
      <c r="D285" s="65" t="s">
        <v>829</v>
      </c>
      <c r="E285" s="28">
        <v>4</v>
      </c>
      <c r="F285" s="28" t="str">
        <f>IF('SP11-3 (1)'!B22="","no number",'SP11-3 (1)'!B22)</f>
        <v>no number</v>
      </c>
      <c r="G285" s="28" t="str">
        <f t="shared" si="20"/>
        <v>no number</v>
      </c>
      <c r="H285" s="228" t="str">
        <f t="shared" si="21"/>
        <v/>
      </c>
      <c r="I285" s="229">
        <f>'SP11-1'!I28</f>
        <v>0</v>
      </c>
      <c r="J285" s="28" t="s">
        <v>144</v>
      </c>
      <c r="K285" s="28">
        <f>((LN(1+H$280))^-2)-(I285*(1+H$280)^(I285*(-1))*(LN((1+H$280))^-1))-((1+H$280)^(I285*(-1))*(LN(1+H$280))^-2)</f>
        <v>0</v>
      </c>
      <c r="L285" s="65" t="s">
        <v>829</v>
      </c>
      <c r="M285" s="28">
        <v>4</v>
      </c>
      <c r="N285" s="28" t="str">
        <f>IF('SP11-2'!B25="","no number",'SP11-2'!B25)</f>
        <v>no number</v>
      </c>
      <c r="O285" s="28" t="str">
        <f t="shared" si="22"/>
        <v>no number</v>
      </c>
      <c r="P285" s="225" t="str">
        <f t="shared" si="23"/>
        <v/>
      </c>
      <c r="Q285" s="225" t="str">
        <f t="shared" si="24"/>
        <v/>
      </c>
      <c r="R285" s="225" t="str">
        <f t="shared" si="24"/>
        <v/>
      </c>
    </row>
    <row r="286" spans="1:18" ht="13.8" thickBot="1">
      <c r="A286" s="224"/>
      <c r="B286" s="222"/>
      <c r="D286" s="65" t="s">
        <v>830</v>
      </c>
      <c r="E286" s="28">
        <v>5</v>
      </c>
      <c r="F286" s="28" t="str">
        <f>IF('SP11-3 (1)'!B23="","no number",'SP11-3 (1)'!B23)</f>
        <v>no number</v>
      </c>
      <c r="G286" s="28" t="str">
        <f t="shared" si="20"/>
        <v>no number</v>
      </c>
      <c r="H286" s="228" t="str">
        <f t="shared" si="21"/>
        <v/>
      </c>
      <c r="I286" s="228" t="str">
        <f t="shared" ref="I286:I291" si="25">IF(G286="no number","",(1/((1+I$280)^($G286))))</f>
        <v/>
      </c>
      <c r="J286" s="228" t="str">
        <f t="shared" ref="J286:J291" si="26">IF($G286="no number","",(1/((1+J$280)^($G286))))</f>
        <v/>
      </c>
      <c r="L286" s="65" t="s">
        <v>830</v>
      </c>
      <c r="M286" s="28">
        <v>5</v>
      </c>
      <c r="N286" s="28" t="str">
        <f>IF('SP11-2'!B26="","no number",'SP11-2'!B26)</f>
        <v>no number</v>
      </c>
      <c r="O286" s="28" t="str">
        <f t="shared" si="22"/>
        <v>no number</v>
      </c>
      <c r="P286" s="225" t="str">
        <f t="shared" si="23"/>
        <v/>
      </c>
      <c r="Q286" s="225" t="str">
        <f t="shared" si="24"/>
        <v/>
      </c>
      <c r="R286" s="225" t="str">
        <f t="shared" si="24"/>
        <v/>
      </c>
    </row>
    <row r="287" spans="1:18" ht="13.8" thickBot="1">
      <c r="A287" s="224"/>
      <c r="B287" s="222"/>
      <c r="D287" s="65" t="s">
        <v>831</v>
      </c>
      <c r="E287" s="28">
        <v>6</v>
      </c>
      <c r="F287" s="28" t="str">
        <f>IF('SP11-3 (1)'!B24="","no number",'SP11-3 (1)'!B24)</f>
        <v>no number</v>
      </c>
      <c r="G287" s="28" t="str">
        <f t="shared" si="20"/>
        <v>no number</v>
      </c>
      <c r="H287" s="228" t="str">
        <f t="shared" si="21"/>
        <v/>
      </c>
      <c r="I287" s="228" t="str">
        <f t="shared" si="25"/>
        <v/>
      </c>
      <c r="J287" s="228" t="str">
        <f t="shared" si="26"/>
        <v/>
      </c>
      <c r="L287" s="65" t="s">
        <v>831</v>
      </c>
      <c r="M287" s="28">
        <v>6</v>
      </c>
      <c r="N287" s="28" t="str">
        <f>IF('SP11-2'!B27="","no number",'SP11-2'!B27)</f>
        <v>no number</v>
      </c>
      <c r="O287" s="28" t="str">
        <f t="shared" si="22"/>
        <v>no number</v>
      </c>
      <c r="P287" s="225" t="str">
        <f t="shared" si="23"/>
        <v/>
      </c>
      <c r="Q287" s="225" t="str">
        <f t="shared" si="24"/>
        <v/>
      </c>
      <c r="R287" s="225" t="str">
        <f t="shared" si="24"/>
        <v/>
      </c>
    </row>
    <row r="288" spans="1:18" ht="13.8" thickBot="1">
      <c r="A288" s="224"/>
      <c r="B288" s="222"/>
      <c r="D288" s="65" t="s">
        <v>832</v>
      </c>
      <c r="E288" s="28">
        <v>7</v>
      </c>
      <c r="F288" s="28" t="str">
        <f>IF('SP11-3 (1)'!B25="","no number",'SP11-3 (1)'!B25)</f>
        <v>no number</v>
      </c>
      <c r="G288" s="28" t="str">
        <f t="shared" si="20"/>
        <v>no number</v>
      </c>
      <c r="H288" s="228" t="str">
        <f t="shared" si="21"/>
        <v/>
      </c>
      <c r="I288" s="228" t="str">
        <f t="shared" si="25"/>
        <v/>
      </c>
      <c r="J288" s="228" t="str">
        <f t="shared" si="26"/>
        <v/>
      </c>
      <c r="L288" s="65" t="s">
        <v>832</v>
      </c>
      <c r="M288" s="28">
        <v>7</v>
      </c>
      <c r="N288" s="28" t="str">
        <f>IF('SP11-2'!B28="","no number",'SP11-2'!B28)</f>
        <v>no number</v>
      </c>
      <c r="O288" s="28" t="str">
        <f t="shared" si="22"/>
        <v>no number</v>
      </c>
      <c r="P288" s="225" t="str">
        <f t="shared" si="23"/>
        <v/>
      </c>
      <c r="Q288" s="225" t="str">
        <f t="shared" si="24"/>
        <v/>
      </c>
      <c r="R288" s="225" t="str">
        <f t="shared" si="24"/>
        <v/>
      </c>
    </row>
    <row r="289" spans="1:18" ht="13.8" thickBot="1">
      <c r="A289" s="224"/>
      <c r="B289" s="222"/>
      <c r="D289" s="65" t="s">
        <v>833</v>
      </c>
      <c r="E289" s="28">
        <v>8</v>
      </c>
      <c r="F289" s="28" t="str">
        <f>IF('SP11-3 (1)'!B26="","no number",'SP11-3 (1)'!B26)</f>
        <v>no number</v>
      </c>
      <c r="G289" s="28" t="str">
        <f t="shared" si="20"/>
        <v>no number</v>
      </c>
      <c r="H289" s="228" t="str">
        <f t="shared" si="21"/>
        <v/>
      </c>
      <c r="I289" s="228" t="str">
        <f t="shared" si="25"/>
        <v/>
      </c>
      <c r="J289" s="228" t="str">
        <f t="shared" si="26"/>
        <v/>
      </c>
      <c r="L289" s="65" t="s">
        <v>833</v>
      </c>
      <c r="M289" s="28">
        <v>8</v>
      </c>
      <c r="N289" s="28" t="str">
        <f>IF('SP11-2'!B29="","no number",'SP11-2'!B29)</f>
        <v>no number</v>
      </c>
      <c r="O289" s="28" t="str">
        <f t="shared" si="22"/>
        <v>no number</v>
      </c>
      <c r="P289" s="225" t="str">
        <f t="shared" si="23"/>
        <v/>
      </c>
      <c r="Q289" s="225" t="str">
        <f t="shared" si="24"/>
        <v/>
      </c>
      <c r="R289" s="225" t="str">
        <f t="shared" si="24"/>
        <v/>
      </c>
    </row>
    <row r="290" spans="1:18" ht="13.8" thickBot="1">
      <c r="A290" s="224"/>
      <c r="B290" s="222"/>
      <c r="D290" s="65" t="s">
        <v>834</v>
      </c>
      <c r="E290" s="28">
        <v>9</v>
      </c>
      <c r="F290" s="28" t="str">
        <f>IF('SP11-3 (1)'!B27="","no number",'SP11-3 (1)'!B27)</f>
        <v>no number</v>
      </c>
      <c r="G290" s="28" t="str">
        <f t="shared" si="20"/>
        <v>no number</v>
      </c>
      <c r="H290" s="228" t="str">
        <f t="shared" si="21"/>
        <v/>
      </c>
      <c r="I290" s="228" t="str">
        <f t="shared" si="25"/>
        <v/>
      </c>
      <c r="J290" s="228" t="str">
        <f t="shared" si="26"/>
        <v/>
      </c>
      <c r="L290" s="65" t="s">
        <v>834</v>
      </c>
      <c r="M290" s="28">
        <v>9</v>
      </c>
      <c r="N290" s="28" t="str">
        <f>IF('SP11-2'!B30="","no number",'SP11-2'!B30)</f>
        <v>no number</v>
      </c>
      <c r="O290" s="28" t="str">
        <f t="shared" si="22"/>
        <v>no number</v>
      </c>
      <c r="P290" s="225" t="str">
        <f t="shared" si="23"/>
        <v/>
      </c>
      <c r="Q290" s="225" t="str">
        <f t="shared" si="24"/>
        <v/>
      </c>
      <c r="R290" s="225" t="str">
        <f t="shared" si="24"/>
        <v/>
      </c>
    </row>
    <row r="291" spans="1:18" ht="13.8" thickBot="1">
      <c r="A291" s="224"/>
      <c r="B291" s="222"/>
      <c r="D291" s="65" t="s">
        <v>835</v>
      </c>
      <c r="E291" s="28">
        <v>10</v>
      </c>
      <c r="F291" s="28" t="str">
        <f>IF('SP11-3 (1)'!B28="","no number",'SP11-3 (1)'!B28)</f>
        <v>no number</v>
      </c>
      <c r="G291" s="28" t="str">
        <f t="shared" si="20"/>
        <v>no number</v>
      </c>
      <c r="H291" s="228" t="str">
        <f t="shared" si="21"/>
        <v/>
      </c>
      <c r="I291" s="228" t="str">
        <f t="shared" si="25"/>
        <v/>
      </c>
      <c r="J291" s="228" t="str">
        <f t="shared" si="26"/>
        <v/>
      </c>
      <c r="L291" s="65" t="s">
        <v>835</v>
      </c>
      <c r="M291" s="28">
        <v>10</v>
      </c>
      <c r="N291" s="28" t="str">
        <f>IF('SP11-2'!B31="","no number",'SP11-2'!B31)</f>
        <v>no number</v>
      </c>
      <c r="O291" s="28" t="str">
        <f t="shared" si="22"/>
        <v>no number</v>
      </c>
      <c r="P291" s="225" t="str">
        <f t="shared" si="23"/>
        <v/>
      </c>
      <c r="Q291" s="225" t="str">
        <f t="shared" si="24"/>
        <v/>
      </c>
      <c r="R291" s="225" t="str">
        <f t="shared" si="24"/>
        <v/>
      </c>
    </row>
    <row r="292" spans="1:18" ht="13.8" thickBot="1">
      <c r="A292" s="224"/>
      <c r="B292" s="222"/>
      <c r="D292" s="65" t="s">
        <v>836</v>
      </c>
      <c r="E292" s="28">
        <v>11</v>
      </c>
      <c r="L292" s="65" t="s">
        <v>836</v>
      </c>
      <c r="M292" s="28">
        <v>11</v>
      </c>
    </row>
    <row r="293" spans="1:18" ht="13.8" thickBot="1">
      <c r="A293" s="224"/>
      <c r="B293" s="222"/>
      <c r="D293" s="65" t="s">
        <v>837</v>
      </c>
      <c r="E293" s="28">
        <v>12</v>
      </c>
      <c r="L293" s="65" t="s">
        <v>837</v>
      </c>
      <c r="M293" s="28">
        <v>12</v>
      </c>
    </row>
    <row r="294" spans="1:18" ht="13.8" thickBot="1">
      <c r="A294" s="224"/>
      <c r="B294" s="222"/>
      <c r="D294" s="65" t="s">
        <v>838</v>
      </c>
      <c r="E294" s="28">
        <v>13</v>
      </c>
      <c r="L294" s="65" t="s">
        <v>838</v>
      </c>
      <c r="M294" s="28">
        <v>13</v>
      </c>
    </row>
    <row r="295" spans="1:18" ht="13.8" thickBot="1">
      <c r="A295" s="223"/>
      <c r="B295" s="222"/>
      <c r="D295" s="65" t="s">
        <v>839</v>
      </c>
      <c r="E295" s="28">
        <v>14</v>
      </c>
      <c r="F295" s="28">
        <v>0</v>
      </c>
      <c r="L295" s="65" t="s">
        <v>839</v>
      </c>
      <c r="M295" s="28">
        <v>14</v>
      </c>
    </row>
    <row r="296" spans="1:18" ht="13.8" thickBot="1">
      <c r="A296" s="223"/>
      <c r="B296" s="222"/>
      <c r="D296" s="65" t="s">
        <v>840</v>
      </c>
      <c r="E296" s="28">
        <v>15</v>
      </c>
      <c r="F296" s="28" t="str">
        <f>IF('SP11-3 (2)'!B21="","no number",'SP11-3 (2)'!B21)</f>
        <v>no number</v>
      </c>
      <c r="G296" s="28" t="str">
        <f t="shared" ref="G296:G304" si="27">IF(F296&lt;F$282,"no number",IF(F296="no number","no number",F296-$F$282))</f>
        <v>no number</v>
      </c>
      <c r="H296" s="225" t="str">
        <f t="shared" ref="H296:H304" si="28">IF(G296="no number","",(1/((1+$H$280)^(G296))))</f>
        <v/>
      </c>
      <c r="I296" s="225" t="str">
        <f t="shared" ref="I296:J304" si="29">IF($G296="no number","",(1/((1+I$280)^($G296))))</f>
        <v/>
      </c>
      <c r="J296" s="225" t="str">
        <f t="shared" si="29"/>
        <v/>
      </c>
      <c r="L296" s="65" t="s">
        <v>840</v>
      </c>
      <c r="M296" s="28">
        <v>15</v>
      </c>
      <c r="N296" s="28" t="s">
        <v>373</v>
      </c>
      <c r="O296" s="28" t="s">
        <v>373</v>
      </c>
    </row>
    <row r="297" spans="1:18" ht="13.8" thickBot="1">
      <c r="A297" s="223"/>
      <c r="B297" s="222"/>
      <c r="D297" s="65" t="s">
        <v>841</v>
      </c>
      <c r="E297" s="28">
        <v>16</v>
      </c>
      <c r="F297" s="28" t="str">
        <f>IF('SP11-3 (2)'!B22="","no number",'SP11-3 (2)'!B22)</f>
        <v>no number</v>
      </c>
      <c r="G297" s="28" t="str">
        <f t="shared" si="27"/>
        <v>no number</v>
      </c>
      <c r="H297" s="225" t="str">
        <f t="shared" si="28"/>
        <v/>
      </c>
      <c r="I297" s="225" t="str">
        <f t="shared" si="29"/>
        <v/>
      </c>
      <c r="J297" s="225" t="str">
        <f t="shared" si="29"/>
        <v/>
      </c>
      <c r="L297" s="65" t="s">
        <v>841</v>
      </c>
      <c r="M297" s="28">
        <v>16</v>
      </c>
    </row>
    <row r="298" spans="1:18" ht="13.8" thickBot="1">
      <c r="A298" s="223"/>
      <c r="B298" s="222"/>
      <c r="D298" s="65" t="s">
        <v>842</v>
      </c>
      <c r="E298" s="28">
        <v>17</v>
      </c>
      <c r="F298" s="28" t="str">
        <f>IF('SP11-3 (2)'!B23="","no number",'SP11-3 (2)'!B23)</f>
        <v>no number</v>
      </c>
      <c r="G298" s="28" t="str">
        <f t="shared" si="27"/>
        <v>no number</v>
      </c>
      <c r="H298" s="225" t="str">
        <f t="shared" si="28"/>
        <v/>
      </c>
      <c r="I298" s="225" t="str">
        <f t="shared" si="29"/>
        <v/>
      </c>
      <c r="J298" s="225" t="str">
        <f t="shared" si="29"/>
        <v/>
      </c>
      <c r="L298" s="65" t="s">
        <v>842</v>
      </c>
      <c r="M298" s="28">
        <v>17</v>
      </c>
    </row>
    <row r="299" spans="1:18" ht="13.8" thickBot="1">
      <c r="A299" s="223"/>
      <c r="B299" s="222"/>
      <c r="D299" s="65" t="s">
        <v>843</v>
      </c>
      <c r="E299" s="28">
        <v>18</v>
      </c>
      <c r="F299" s="28" t="str">
        <f>IF('SP11-3 (2)'!B24="","no number",'SP11-3 (2)'!B24)</f>
        <v>no number</v>
      </c>
      <c r="G299" s="28" t="str">
        <f t="shared" si="27"/>
        <v>no number</v>
      </c>
      <c r="H299" s="225" t="str">
        <f t="shared" si="28"/>
        <v/>
      </c>
      <c r="I299" s="225" t="str">
        <f t="shared" si="29"/>
        <v/>
      </c>
      <c r="J299" s="225" t="str">
        <f t="shared" si="29"/>
        <v/>
      </c>
      <c r="L299" s="65" t="s">
        <v>843</v>
      </c>
      <c r="M299" s="28">
        <v>18</v>
      </c>
    </row>
    <row r="300" spans="1:18" ht="13.8" thickBot="1">
      <c r="A300" s="223"/>
      <c r="B300" s="222"/>
      <c r="D300" s="65" t="s">
        <v>844</v>
      </c>
      <c r="E300" s="28">
        <v>19</v>
      </c>
      <c r="F300" s="28" t="str">
        <f>IF('SP11-3 (2)'!B25="","no number",'SP11-3 (2)'!B25)</f>
        <v>no number</v>
      </c>
      <c r="G300" s="28" t="str">
        <f t="shared" si="27"/>
        <v>no number</v>
      </c>
      <c r="H300" s="225" t="str">
        <f t="shared" si="28"/>
        <v/>
      </c>
      <c r="I300" s="225" t="str">
        <f t="shared" si="29"/>
        <v/>
      </c>
      <c r="J300" s="225" t="str">
        <f t="shared" si="29"/>
        <v/>
      </c>
      <c r="L300" s="65" t="s">
        <v>844</v>
      </c>
      <c r="M300" s="28">
        <v>19</v>
      </c>
    </row>
    <row r="301" spans="1:18" ht="13.8" thickBot="1">
      <c r="A301" s="223"/>
      <c r="B301" s="222"/>
      <c r="D301" s="65" t="s">
        <v>845</v>
      </c>
      <c r="E301" s="28">
        <v>20</v>
      </c>
      <c r="F301" s="28" t="str">
        <f>IF('SP11-3 (2)'!B26="","no number",'SP11-3 (2)'!B26)</f>
        <v>no number</v>
      </c>
      <c r="G301" s="28" t="str">
        <f t="shared" si="27"/>
        <v>no number</v>
      </c>
      <c r="H301" s="225" t="str">
        <f t="shared" si="28"/>
        <v/>
      </c>
      <c r="I301" s="225" t="str">
        <f t="shared" si="29"/>
        <v/>
      </c>
      <c r="J301" s="225" t="str">
        <f t="shared" si="29"/>
        <v/>
      </c>
      <c r="L301" s="65" t="s">
        <v>845</v>
      </c>
      <c r="M301" s="28">
        <v>20</v>
      </c>
    </row>
    <row r="302" spans="1:18" ht="13.8" thickBot="1">
      <c r="A302" s="223"/>
      <c r="B302" s="222"/>
      <c r="D302" s="65" t="s">
        <v>846</v>
      </c>
      <c r="E302" s="28">
        <v>21</v>
      </c>
      <c r="F302" s="28" t="str">
        <f>IF('SP11-3 (2)'!B27="","no number",'SP11-3 (2)'!B27)</f>
        <v>no number</v>
      </c>
      <c r="G302" s="28" t="str">
        <f t="shared" si="27"/>
        <v>no number</v>
      </c>
      <c r="H302" s="225" t="str">
        <f t="shared" si="28"/>
        <v/>
      </c>
      <c r="I302" s="225" t="str">
        <f t="shared" si="29"/>
        <v/>
      </c>
      <c r="J302" s="225" t="str">
        <f t="shared" si="29"/>
        <v/>
      </c>
      <c r="L302" s="65" t="s">
        <v>846</v>
      </c>
      <c r="M302" s="28">
        <v>21</v>
      </c>
    </row>
    <row r="303" spans="1:18" ht="13.8" thickBot="1">
      <c r="A303" s="223"/>
      <c r="B303" s="222"/>
      <c r="D303" s="65" t="s">
        <v>847</v>
      </c>
      <c r="E303" s="28">
        <v>22</v>
      </c>
      <c r="F303" s="28" t="str">
        <f>IF('SP11-3 (2)'!B28="","no number",'SP11-3 (2)'!B28)</f>
        <v>no number</v>
      </c>
      <c r="G303" s="28" t="str">
        <f t="shared" si="27"/>
        <v>no number</v>
      </c>
      <c r="H303" s="225" t="str">
        <f t="shared" si="28"/>
        <v/>
      </c>
      <c r="I303" s="225" t="str">
        <f t="shared" si="29"/>
        <v/>
      </c>
      <c r="J303" s="225" t="str">
        <f t="shared" si="29"/>
        <v/>
      </c>
      <c r="L303" s="65" t="s">
        <v>847</v>
      </c>
      <c r="M303" s="28">
        <v>22</v>
      </c>
    </row>
    <row r="304" spans="1:18" ht="13.8" thickBot="1">
      <c r="A304" s="223"/>
      <c r="B304" s="222"/>
      <c r="D304" s="65" t="s">
        <v>848</v>
      </c>
      <c r="E304" s="28">
        <v>23</v>
      </c>
      <c r="F304" s="28" t="str">
        <f>IF('SP11-3 (2)'!B29="","no number",'SP11-3 (2)'!B29)</f>
        <v>no number</v>
      </c>
      <c r="G304" s="28" t="str">
        <f t="shared" si="27"/>
        <v>no number</v>
      </c>
      <c r="H304" s="225" t="str">
        <f t="shared" si="28"/>
        <v/>
      </c>
      <c r="I304" s="225" t="str">
        <f t="shared" si="29"/>
        <v/>
      </c>
      <c r="J304" s="225" t="str">
        <f t="shared" si="29"/>
        <v/>
      </c>
      <c r="L304" s="65" t="s">
        <v>848</v>
      </c>
      <c r="M304" s="28">
        <v>23</v>
      </c>
    </row>
    <row r="305" spans="1:13" ht="13.8" thickBot="1">
      <c r="A305" s="223"/>
      <c r="B305" s="222"/>
      <c r="D305" s="65" t="s">
        <v>849</v>
      </c>
      <c r="E305" s="28">
        <v>24</v>
      </c>
      <c r="L305" s="65" t="s">
        <v>849</v>
      </c>
      <c r="M305" s="28">
        <v>24</v>
      </c>
    </row>
    <row r="306" spans="1:13" ht="13.8" thickBot="1">
      <c r="A306" s="223"/>
      <c r="B306" s="222"/>
      <c r="D306" s="65" t="s">
        <v>850</v>
      </c>
      <c r="E306" s="28">
        <v>25</v>
      </c>
      <c r="L306" s="65" t="s">
        <v>850</v>
      </c>
      <c r="M306" s="28">
        <v>25</v>
      </c>
    </row>
    <row r="307" spans="1:13">
      <c r="B307" s="222"/>
      <c r="D307" s="65" t="s">
        <v>851</v>
      </c>
      <c r="E307" s="28">
        <v>26</v>
      </c>
      <c r="F307" s="28">
        <v>0</v>
      </c>
      <c r="L307" s="65" t="s">
        <v>851</v>
      </c>
      <c r="M307" s="28">
        <v>26</v>
      </c>
    </row>
    <row r="308" spans="1:13">
      <c r="D308" s="65" t="s">
        <v>852</v>
      </c>
      <c r="E308" s="28">
        <v>27</v>
      </c>
      <c r="F308" s="28" t="str">
        <f>IF('SP11-3 (3)'!B21="","no number",'SP11-3 (3)'!B21)</f>
        <v>no number</v>
      </c>
      <c r="G308" s="28" t="str">
        <f t="shared" ref="G308:G316" si="30">IF(F308&lt;F$282,"no number",IF(F308="no number","no number",F308-$F$282))</f>
        <v>no number</v>
      </c>
      <c r="H308" s="225" t="str">
        <f t="shared" ref="H308:H316" si="31">IF(G308="no number","",(1/((1+$H$280)^(G308))))</f>
        <v/>
      </c>
      <c r="I308" s="225" t="str">
        <f t="shared" ref="I308:J316" si="32">IF($G308="no number","",(1/((1+I$280)^($G308))))</f>
        <v/>
      </c>
      <c r="J308" s="225" t="str">
        <f t="shared" si="32"/>
        <v/>
      </c>
      <c r="L308" s="65" t="s">
        <v>852</v>
      </c>
      <c r="M308" s="28">
        <v>27</v>
      </c>
    </row>
    <row r="309" spans="1:13">
      <c r="D309" s="65" t="s">
        <v>853</v>
      </c>
      <c r="E309" s="28">
        <v>28</v>
      </c>
      <c r="F309" s="28" t="str">
        <f>IF('SP11-3 (3)'!B22="","no number",'SP11-3 (3)'!B22)</f>
        <v>no number</v>
      </c>
      <c r="G309" s="28" t="str">
        <f t="shared" si="30"/>
        <v>no number</v>
      </c>
      <c r="H309" s="225" t="str">
        <f t="shared" si="31"/>
        <v/>
      </c>
      <c r="I309" s="225" t="str">
        <f t="shared" si="32"/>
        <v/>
      </c>
      <c r="J309" s="225" t="str">
        <f t="shared" si="32"/>
        <v/>
      </c>
      <c r="L309" s="65" t="s">
        <v>853</v>
      </c>
      <c r="M309" s="28">
        <v>28</v>
      </c>
    </row>
    <row r="310" spans="1:13">
      <c r="D310" s="65" t="s">
        <v>854</v>
      </c>
      <c r="E310" s="28">
        <v>29</v>
      </c>
      <c r="F310" s="28" t="str">
        <f>IF('SP11-3 (3)'!B23="","no number",'SP11-3 (3)'!B23)</f>
        <v>no number</v>
      </c>
      <c r="G310" s="28" t="str">
        <f t="shared" si="30"/>
        <v>no number</v>
      </c>
      <c r="H310" s="225" t="str">
        <f t="shared" si="31"/>
        <v/>
      </c>
      <c r="I310" s="225" t="str">
        <f t="shared" si="32"/>
        <v/>
      </c>
      <c r="J310" s="225" t="str">
        <f t="shared" si="32"/>
        <v/>
      </c>
      <c r="L310" s="65" t="s">
        <v>854</v>
      </c>
      <c r="M310" s="28">
        <v>29</v>
      </c>
    </row>
    <row r="311" spans="1:13">
      <c r="D311" s="65" t="s">
        <v>855</v>
      </c>
      <c r="E311" s="28">
        <v>30</v>
      </c>
      <c r="F311" s="28" t="str">
        <f>IF('SP11-3 (3)'!B24="","no number",'SP11-3 (3)'!B24)</f>
        <v>no number</v>
      </c>
      <c r="G311" s="28" t="str">
        <f t="shared" si="30"/>
        <v>no number</v>
      </c>
      <c r="H311" s="225" t="str">
        <f t="shared" si="31"/>
        <v/>
      </c>
      <c r="I311" s="225" t="str">
        <f t="shared" si="32"/>
        <v/>
      </c>
      <c r="J311" s="225" t="str">
        <f t="shared" si="32"/>
        <v/>
      </c>
      <c r="L311" s="65" t="s">
        <v>855</v>
      </c>
      <c r="M311" s="28">
        <v>30</v>
      </c>
    </row>
    <row r="312" spans="1:13">
      <c r="D312" s="65" t="s">
        <v>856</v>
      </c>
      <c r="E312" s="28">
        <v>31</v>
      </c>
      <c r="F312" s="28" t="str">
        <f>IF('SP11-3 (3)'!B25="","no number",'SP11-3 (3)'!B25)</f>
        <v>no number</v>
      </c>
      <c r="G312" s="28" t="str">
        <f t="shared" si="30"/>
        <v>no number</v>
      </c>
      <c r="H312" s="225" t="str">
        <f t="shared" si="31"/>
        <v/>
      </c>
      <c r="I312" s="225" t="str">
        <f t="shared" si="32"/>
        <v/>
      </c>
      <c r="J312" s="225" t="str">
        <f t="shared" si="32"/>
        <v/>
      </c>
      <c r="L312" s="65" t="s">
        <v>856</v>
      </c>
      <c r="M312" s="28">
        <v>31</v>
      </c>
    </row>
    <row r="313" spans="1:13">
      <c r="D313" s="65" t="s">
        <v>857</v>
      </c>
      <c r="E313" s="28">
        <v>32</v>
      </c>
      <c r="F313" s="28" t="str">
        <f>IF('SP11-3 (3)'!B26="","no number",'SP11-3 (3)'!B26)</f>
        <v>no number</v>
      </c>
      <c r="G313" s="28" t="str">
        <f t="shared" si="30"/>
        <v>no number</v>
      </c>
      <c r="H313" s="225" t="str">
        <f t="shared" si="31"/>
        <v/>
      </c>
      <c r="I313" s="225" t="str">
        <f t="shared" si="32"/>
        <v/>
      </c>
      <c r="J313" s="225" t="str">
        <f t="shared" si="32"/>
        <v/>
      </c>
      <c r="L313" s="65" t="s">
        <v>857</v>
      </c>
      <c r="M313" s="28">
        <v>32</v>
      </c>
    </row>
    <row r="314" spans="1:13" ht="13.8" thickBot="1">
      <c r="D314" s="65" t="s">
        <v>858</v>
      </c>
      <c r="E314" s="28">
        <v>33</v>
      </c>
      <c r="F314" s="28" t="str">
        <f>IF('SP11-3 (3)'!B27="","no number",'SP11-3 (3)'!B27)</f>
        <v>no number</v>
      </c>
      <c r="G314" s="28" t="str">
        <f t="shared" si="30"/>
        <v>no number</v>
      </c>
      <c r="H314" s="225" t="str">
        <f t="shared" si="31"/>
        <v/>
      </c>
      <c r="I314" s="225" t="str">
        <f t="shared" si="32"/>
        <v/>
      </c>
      <c r="J314" s="225" t="str">
        <f t="shared" si="32"/>
        <v/>
      </c>
      <c r="L314" s="65" t="s">
        <v>858</v>
      </c>
      <c r="M314" s="28">
        <v>33</v>
      </c>
    </row>
    <row r="315" spans="1:13" ht="13.8" thickBot="1">
      <c r="A315" s="227"/>
      <c r="D315" s="65" t="s">
        <v>859</v>
      </c>
      <c r="E315" s="28">
        <v>34</v>
      </c>
      <c r="F315" s="28" t="str">
        <f>IF('SP11-3 (3)'!B28="","no number",'SP11-3 (3)'!B28)</f>
        <v>no number</v>
      </c>
      <c r="G315" s="28" t="str">
        <f t="shared" si="30"/>
        <v>no number</v>
      </c>
      <c r="H315" s="225" t="str">
        <f t="shared" si="31"/>
        <v/>
      </c>
      <c r="I315" s="225" t="str">
        <f t="shared" si="32"/>
        <v/>
      </c>
      <c r="J315" s="225" t="str">
        <f t="shared" si="32"/>
        <v/>
      </c>
      <c r="L315" s="65" t="s">
        <v>859</v>
      </c>
      <c r="M315" s="28">
        <v>34</v>
      </c>
    </row>
    <row r="316" spans="1:13" ht="13.8" thickBot="1">
      <c r="A316" s="224"/>
      <c r="B316" s="226"/>
      <c r="D316" s="65" t="s">
        <v>860</v>
      </c>
      <c r="E316" s="28">
        <v>35</v>
      </c>
      <c r="F316" s="28" t="str">
        <f>IF('SP11-3 (3)'!B29="","no number",'SP11-3 (3)'!B29)</f>
        <v>no number</v>
      </c>
      <c r="G316" s="28" t="str">
        <f t="shared" si="30"/>
        <v>no number</v>
      </c>
      <c r="H316" s="225" t="str">
        <f t="shared" si="31"/>
        <v/>
      </c>
      <c r="I316" s="225" t="str">
        <f t="shared" si="32"/>
        <v/>
      </c>
      <c r="J316" s="225" t="str">
        <f t="shared" si="32"/>
        <v/>
      </c>
      <c r="L316" s="65" t="s">
        <v>860</v>
      </c>
      <c r="M316" s="28">
        <v>35</v>
      </c>
    </row>
    <row r="317" spans="1:13" ht="13.8" thickBot="1">
      <c r="A317" s="224"/>
      <c r="B317" s="222"/>
      <c r="D317" s="65" t="s">
        <v>861</v>
      </c>
      <c r="E317" s="28">
        <v>36</v>
      </c>
      <c r="L317" s="65" t="s">
        <v>861</v>
      </c>
      <c r="M317" s="28">
        <v>36</v>
      </c>
    </row>
    <row r="318" spans="1:13" ht="13.8" thickBot="1">
      <c r="A318" s="224"/>
      <c r="B318" s="222"/>
      <c r="D318" s="65" t="s">
        <v>862</v>
      </c>
      <c r="E318" s="28">
        <v>37</v>
      </c>
      <c r="L318" s="65" t="s">
        <v>862</v>
      </c>
      <c r="M318" s="28">
        <v>37</v>
      </c>
    </row>
    <row r="319" spans="1:13" ht="13.8" thickBot="1">
      <c r="A319" s="224"/>
      <c r="B319" s="222"/>
      <c r="D319" s="65" t="s">
        <v>863</v>
      </c>
      <c r="E319" s="28">
        <v>38</v>
      </c>
      <c r="L319" s="65" t="s">
        <v>863</v>
      </c>
      <c r="M319" s="28">
        <v>38</v>
      </c>
    </row>
    <row r="320" spans="1:13" ht="13.8" thickBot="1">
      <c r="A320" s="224"/>
      <c r="B320" s="222"/>
      <c r="D320" s="65" t="s">
        <v>864</v>
      </c>
      <c r="E320" s="28">
        <v>39</v>
      </c>
      <c r="L320" s="65" t="s">
        <v>864</v>
      </c>
      <c r="M320" s="28">
        <v>39</v>
      </c>
    </row>
    <row r="321" spans="1:13" ht="13.8" thickBot="1">
      <c r="A321" s="224"/>
      <c r="B321" s="222"/>
      <c r="D321" s="65" t="s">
        <v>865</v>
      </c>
      <c r="E321" s="28">
        <v>40</v>
      </c>
      <c r="L321" s="65" t="s">
        <v>865</v>
      </c>
      <c r="M321" s="28">
        <v>40</v>
      </c>
    </row>
    <row r="322" spans="1:13" ht="13.8" thickBot="1">
      <c r="A322" s="224"/>
      <c r="B322" s="222"/>
      <c r="D322" s="65" t="s">
        <v>866</v>
      </c>
      <c r="E322" s="28">
        <v>41</v>
      </c>
      <c r="L322" s="65" t="s">
        <v>866</v>
      </c>
      <c r="M322" s="28">
        <v>41</v>
      </c>
    </row>
    <row r="323" spans="1:13" ht="13.8" thickBot="1">
      <c r="A323" s="224"/>
      <c r="B323" s="222"/>
      <c r="D323" s="65" t="s">
        <v>867</v>
      </c>
      <c r="E323" s="28">
        <v>42</v>
      </c>
      <c r="L323" s="65" t="s">
        <v>867</v>
      </c>
      <c r="M323" s="28">
        <v>42</v>
      </c>
    </row>
    <row r="324" spans="1:13" ht="13.8" thickBot="1">
      <c r="A324" s="224"/>
      <c r="B324" s="222"/>
      <c r="D324" s="65" t="s">
        <v>868</v>
      </c>
      <c r="E324" s="28">
        <v>43</v>
      </c>
      <c r="L324" s="65" t="s">
        <v>868</v>
      </c>
      <c r="M324" s="28">
        <v>43</v>
      </c>
    </row>
    <row r="325" spans="1:13" ht="13.8" thickBot="1">
      <c r="A325" s="224"/>
      <c r="B325" s="222"/>
      <c r="D325" s="65" t="s">
        <v>869</v>
      </c>
      <c r="E325" s="28">
        <v>44</v>
      </c>
      <c r="L325" s="65" t="s">
        <v>869</v>
      </c>
      <c r="M325" s="28">
        <v>44</v>
      </c>
    </row>
    <row r="326" spans="1:13" ht="13.8" thickBot="1">
      <c r="A326" s="224"/>
      <c r="B326" s="222"/>
      <c r="D326" s="65" t="s">
        <v>870</v>
      </c>
      <c r="E326" s="28">
        <v>45</v>
      </c>
      <c r="L326" s="65" t="s">
        <v>870</v>
      </c>
      <c r="M326" s="28">
        <v>45</v>
      </c>
    </row>
    <row r="327" spans="1:13" ht="13.8" thickBot="1">
      <c r="A327" s="224"/>
      <c r="B327" s="222"/>
      <c r="D327" s="65" t="s">
        <v>871</v>
      </c>
      <c r="E327" s="28">
        <v>46</v>
      </c>
      <c r="L327" s="65" t="s">
        <v>871</v>
      </c>
      <c r="M327" s="28">
        <v>46</v>
      </c>
    </row>
    <row r="328" spans="1:13" ht="13.8" thickBot="1">
      <c r="A328" s="224"/>
      <c r="B328" s="222"/>
      <c r="D328" s="65" t="s">
        <v>872</v>
      </c>
      <c r="E328" s="28">
        <v>47</v>
      </c>
      <c r="L328" s="65" t="s">
        <v>872</v>
      </c>
      <c r="M328" s="28">
        <v>47</v>
      </c>
    </row>
    <row r="329" spans="1:13" ht="13.8" thickBot="1">
      <c r="A329" s="223"/>
      <c r="B329" s="222"/>
      <c r="D329" s="65" t="s">
        <v>873</v>
      </c>
      <c r="E329" s="28">
        <v>48</v>
      </c>
      <c r="L329" s="65" t="s">
        <v>873</v>
      </c>
      <c r="M329" s="28">
        <v>48</v>
      </c>
    </row>
    <row r="330" spans="1:13" ht="13.8" thickBot="1">
      <c r="A330" s="223"/>
      <c r="B330" s="222"/>
      <c r="D330" s="65" t="s">
        <v>874</v>
      </c>
      <c r="E330" s="28">
        <v>49</v>
      </c>
      <c r="L330" s="65" t="s">
        <v>874</v>
      </c>
      <c r="M330" s="28">
        <v>49</v>
      </c>
    </row>
    <row r="331" spans="1:13" ht="13.8" thickBot="1">
      <c r="A331" s="223"/>
      <c r="B331" s="222"/>
      <c r="D331" s="65" t="s">
        <v>875</v>
      </c>
      <c r="E331" s="28">
        <v>50</v>
      </c>
      <c r="L331" s="65" t="s">
        <v>875</v>
      </c>
      <c r="M331" s="28">
        <v>50</v>
      </c>
    </row>
    <row r="332" spans="1:13" ht="13.8" thickBot="1">
      <c r="A332" s="223"/>
      <c r="B332" s="222"/>
      <c r="L332" s="65"/>
    </row>
    <row r="333" spans="1:13" ht="13.8" thickBot="1">
      <c r="A333" s="223"/>
      <c r="B333" s="222"/>
      <c r="L333" s="65"/>
    </row>
    <row r="334" spans="1:13" ht="13.8" thickBot="1">
      <c r="A334" s="223"/>
      <c r="B334" s="222"/>
    </row>
    <row r="335" spans="1:13" ht="13.8" thickBot="1">
      <c r="A335" s="223"/>
      <c r="B335" s="222"/>
    </row>
    <row r="336" spans="1:13" ht="13.8" thickBot="1">
      <c r="A336" s="223"/>
      <c r="B336" s="222"/>
    </row>
    <row r="337" spans="1:2" ht="13.8" thickBot="1">
      <c r="A337" s="223"/>
      <c r="B337" s="222"/>
    </row>
    <row r="338" spans="1:2" ht="13.8" thickBot="1">
      <c r="A338" s="223"/>
      <c r="B338" s="222"/>
    </row>
    <row r="339" spans="1:2" ht="13.8" thickBot="1">
      <c r="A339" s="223"/>
      <c r="B339" s="222"/>
    </row>
    <row r="340" spans="1:2" ht="13.8" thickBot="1">
      <c r="A340" s="223"/>
      <c r="B340" s="222"/>
    </row>
    <row r="341" spans="1:2">
      <c r="B341" s="222"/>
    </row>
  </sheetData>
  <sheetProtection selectLockedCells="1"/>
  <mergeCells count="41">
    <mergeCell ref="A120:B120"/>
    <mergeCell ref="A191:B191"/>
    <mergeCell ref="C191:H191"/>
    <mergeCell ref="A121:B121"/>
    <mergeCell ref="C120:H121"/>
    <mergeCell ref="A208:B208"/>
    <mergeCell ref="C208:H208"/>
    <mergeCell ref="A138:B138"/>
    <mergeCell ref="C138:H138"/>
    <mergeCell ref="A156:B156"/>
    <mergeCell ref="C156:H156"/>
    <mergeCell ref="A173:B173"/>
    <mergeCell ref="C173:H173"/>
    <mergeCell ref="A102:B102"/>
    <mergeCell ref="C102:H102"/>
    <mergeCell ref="C85:C86"/>
    <mergeCell ref="D85:D86"/>
    <mergeCell ref="B18:B19"/>
    <mergeCell ref="A35:A36"/>
    <mergeCell ref="B35:B36"/>
    <mergeCell ref="A74:A75"/>
    <mergeCell ref="C74:C75"/>
    <mergeCell ref="D74:D75"/>
    <mergeCell ref="A84:B84"/>
    <mergeCell ref="C84:H84"/>
    <mergeCell ref="E85:E86"/>
    <mergeCell ref="F85:F86"/>
    <mergeCell ref="H85:H86"/>
    <mergeCell ref="A72:A73"/>
    <mergeCell ref="C72:C73"/>
    <mergeCell ref="D72:D73"/>
    <mergeCell ref="A53:A54"/>
    <mergeCell ref="B53:B54"/>
    <mergeCell ref="O19:O20"/>
    <mergeCell ref="B6:L6"/>
    <mergeCell ref="A70:A71"/>
    <mergeCell ref="C70:C71"/>
    <mergeCell ref="D70:D71"/>
    <mergeCell ref="A18:A19"/>
    <mergeCell ref="B34:D34"/>
    <mergeCell ref="I19:I20"/>
  </mergeCell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F9E30-6CEA-4940-AF06-AA1633C2B266}">
  <dimension ref="A1"/>
  <sheetViews>
    <sheetView zoomScaleNormal="100" workbookViewId="0"/>
  </sheetViews>
  <sheetFormatPr defaultColWidth="9" defaultRowHeight="11.4"/>
  <cols>
    <col min="1" max="16384" width="9" style="83"/>
  </cols>
  <sheetData/>
  <pageMargins left="1.1811023622047245" right="0.78740157480314965" top="0.78740157480314965" bottom="0.78740157480314965" header="0.51181102362204722" footer="0.51181102362204722"/>
  <pageSetup paperSize="9" orientation="portrait"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5D84-CC24-4509-B344-9D104EB3FBE1}">
  <dimension ref="A1"/>
  <sheetViews>
    <sheetView zoomScaleNormal="100" workbookViewId="0"/>
  </sheetViews>
  <sheetFormatPr defaultColWidth="9" defaultRowHeight="11.4"/>
  <cols>
    <col min="1" max="16384" width="9" style="83"/>
  </cols>
  <sheetData/>
  <pageMargins left="1.1811023622047245" right="0.78740157480314965" top="0.78740157480314965" bottom="0.78740157480314965" header="0.51181102362204722" footer="0.51181102362204722"/>
  <pageSetup paperSize="9"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6D20-2BE0-48F6-87AF-0CF865680156}">
  <dimension ref="A1"/>
  <sheetViews>
    <sheetView zoomScaleNormal="100" workbookViewId="0">
      <selection activeCell="E46" sqref="E46"/>
    </sheetView>
  </sheetViews>
  <sheetFormatPr defaultColWidth="9" defaultRowHeight="11.4"/>
  <cols>
    <col min="1" max="16384" width="9" style="83"/>
  </cols>
  <sheetData/>
  <pageMargins left="1.1811023622047245" right="0.78740157480314965" top="0.78740157480314965" bottom="0.78740157480314965" header="0.51181102362204722" footer="0.51181102362204722"/>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97"/>
  <sheetViews>
    <sheetView workbookViewId="0">
      <selection activeCell="E4" sqref="E4"/>
    </sheetView>
  </sheetViews>
  <sheetFormatPr defaultColWidth="11" defaultRowHeight="15.6"/>
  <cols>
    <col min="1" max="1" width="44.69921875" customWidth="1"/>
    <col min="2" max="2" width="4.69921875" customWidth="1"/>
    <col min="3" max="3" width="46.796875" customWidth="1"/>
    <col min="4" max="4" width="4.19921875" customWidth="1"/>
    <col min="5" max="5" width="45.796875" customWidth="1"/>
    <col min="6" max="6" width="4.69921875" customWidth="1"/>
    <col min="7" max="7" width="47.796875" customWidth="1"/>
    <col min="8" max="8" width="4.69921875" customWidth="1"/>
    <col min="9" max="9" width="48.5" customWidth="1"/>
  </cols>
  <sheetData>
    <row r="1" spans="1:9">
      <c r="A1" t="s">
        <v>49</v>
      </c>
      <c r="C1" t="s">
        <v>50</v>
      </c>
      <c r="E1" t="s">
        <v>51</v>
      </c>
      <c r="G1" t="s">
        <v>52</v>
      </c>
      <c r="I1" t="s">
        <v>53</v>
      </c>
    </row>
    <row r="2" spans="1:9">
      <c r="A2" t="s">
        <v>30</v>
      </c>
      <c r="C2" t="s">
        <v>54</v>
      </c>
      <c r="E2" t="s">
        <v>55</v>
      </c>
      <c r="G2" t="s">
        <v>56</v>
      </c>
      <c r="I2" t="s">
        <v>47</v>
      </c>
    </row>
    <row r="3" spans="1:9">
      <c r="A3" t="s">
        <v>57</v>
      </c>
      <c r="C3" t="s">
        <v>58</v>
      </c>
      <c r="E3" t="s">
        <v>36</v>
      </c>
      <c r="G3" t="s">
        <v>59</v>
      </c>
      <c r="I3" t="s">
        <v>60</v>
      </c>
    </row>
    <row r="4" spans="1:9">
      <c r="A4" s="22" t="s">
        <v>61</v>
      </c>
      <c r="E4" t="s">
        <v>62</v>
      </c>
      <c r="G4" t="s">
        <v>39</v>
      </c>
      <c r="I4" t="s">
        <v>63</v>
      </c>
    </row>
    <row r="5" spans="1:9">
      <c r="A5" s="22" t="s">
        <v>32</v>
      </c>
      <c r="E5" t="s">
        <v>64</v>
      </c>
      <c r="G5" t="s">
        <v>42</v>
      </c>
      <c r="I5" t="s">
        <v>65</v>
      </c>
    </row>
    <row r="6" spans="1:9">
      <c r="A6" s="22" t="s">
        <v>66</v>
      </c>
      <c r="E6" t="s">
        <v>67</v>
      </c>
      <c r="G6" t="s">
        <v>58</v>
      </c>
      <c r="I6" s="22" t="s">
        <v>68</v>
      </c>
    </row>
    <row r="7" spans="1:9">
      <c r="A7" s="22" t="s">
        <v>69</v>
      </c>
      <c r="E7" t="s">
        <v>70</v>
      </c>
      <c r="I7" t="s">
        <v>71</v>
      </c>
    </row>
    <row r="8" spans="1:9">
      <c r="A8" s="23" t="s">
        <v>58</v>
      </c>
      <c r="C8" t="s">
        <v>72</v>
      </c>
      <c r="E8" t="s">
        <v>58</v>
      </c>
      <c r="I8" t="s">
        <v>73</v>
      </c>
    </row>
    <row r="9" spans="1:9">
      <c r="C9" s="24" t="s">
        <v>74</v>
      </c>
      <c r="I9" t="s">
        <v>45</v>
      </c>
    </row>
    <row r="10" spans="1:9">
      <c r="C10" s="22" t="s">
        <v>75</v>
      </c>
      <c r="I10" t="s">
        <v>58</v>
      </c>
    </row>
    <row r="11" spans="1:9">
      <c r="C11" s="24" t="s">
        <v>31</v>
      </c>
    </row>
    <row r="12" spans="1:9">
      <c r="A12" t="s">
        <v>72</v>
      </c>
      <c r="C12" s="22" t="s">
        <v>76</v>
      </c>
    </row>
    <row r="13" spans="1:9">
      <c r="A13" s="10" t="s">
        <v>77</v>
      </c>
      <c r="C13" s="22" t="s">
        <v>78</v>
      </c>
    </row>
    <row r="14" spans="1:9">
      <c r="A14" s="24" t="s">
        <v>74</v>
      </c>
      <c r="C14" s="24" t="s">
        <v>79</v>
      </c>
    </row>
    <row r="15" spans="1:9">
      <c r="A15" s="22" t="s">
        <v>75</v>
      </c>
      <c r="C15" s="22" t="s">
        <v>80</v>
      </c>
    </row>
    <row r="16" spans="1:9">
      <c r="A16" s="24" t="s">
        <v>31</v>
      </c>
      <c r="C16" s="24" t="s">
        <v>81</v>
      </c>
    </row>
    <row r="17" spans="1:3">
      <c r="A17" s="22" t="s">
        <v>76</v>
      </c>
      <c r="C17" s="22" t="s">
        <v>33</v>
      </c>
    </row>
    <row r="18" spans="1:3">
      <c r="A18" s="10" t="s">
        <v>57</v>
      </c>
      <c r="C18" s="24" t="s">
        <v>82</v>
      </c>
    </row>
    <row r="19" spans="1:3">
      <c r="A19" s="22" t="s">
        <v>78</v>
      </c>
      <c r="C19" s="22" t="s">
        <v>83</v>
      </c>
    </row>
    <row r="20" spans="1:3">
      <c r="A20" s="24" t="s">
        <v>79</v>
      </c>
      <c r="C20" s="23" t="s">
        <v>84</v>
      </c>
    </row>
    <row r="21" spans="1:3">
      <c r="A21" s="22" t="s">
        <v>80</v>
      </c>
      <c r="C21" s="22" t="s">
        <v>85</v>
      </c>
    </row>
    <row r="22" spans="1:3">
      <c r="A22" s="10" t="s">
        <v>61</v>
      </c>
      <c r="C22" s="23" t="s">
        <v>86</v>
      </c>
    </row>
    <row r="23" spans="1:3">
      <c r="A23" s="24" t="s">
        <v>81</v>
      </c>
      <c r="C23" s="22" t="s">
        <v>87</v>
      </c>
    </row>
    <row r="24" spans="1:3">
      <c r="A24" s="10" t="s">
        <v>32</v>
      </c>
      <c r="C24" s="22" t="s">
        <v>88</v>
      </c>
    </row>
    <row r="25" spans="1:3">
      <c r="A25" s="22" t="s">
        <v>33</v>
      </c>
      <c r="C25" s="22" t="s">
        <v>89</v>
      </c>
    </row>
    <row r="26" spans="1:3">
      <c r="A26" s="10" t="s">
        <v>66</v>
      </c>
      <c r="C26" s="23" t="s">
        <v>90</v>
      </c>
    </row>
    <row r="27" spans="1:3">
      <c r="A27" s="24" t="s">
        <v>82</v>
      </c>
      <c r="C27" s="22" t="s">
        <v>91</v>
      </c>
    </row>
    <row r="28" spans="1:3">
      <c r="A28" s="22" t="s">
        <v>83</v>
      </c>
      <c r="C28" s="22" t="s">
        <v>92</v>
      </c>
    </row>
    <row r="29" spans="1:3">
      <c r="A29" s="10" t="s">
        <v>69</v>
      </c>
      <c r="C29" s="22" t="s">
        <v>93</v>
      </c>
    </row>
    <row r="30" spans="1:3">
      <c r="A30" s="23" t="s">
        <v>84</v>
      </c>
      <c r="C30" s="22" t="s">
        <v>94</v>
      </c>
    </row>
    <row r="31" spans="1:3">
      <c r="A31" s="11" t="s">
        <v>54</v>
      </c>
      <c r="C31" s="22" t="s">
        <v>95</v>
      </c>
    </row>
    <row r="32" spans="1:3">
      <c r="A32" s="22" t="s">
        <v>85</v>
      </c>
      <c r="C32" s="23" t="s">
        <v>96</v>
      </c>
    </row>
    <row r="33" spans="1:3">
      <c r="A33" s="23" t="s">
        <v>86</v>
      </c>
      <c r="C33" s="23" t="s">
        <v>97</v>
      </c>
    </row>
    <row r="34" spans="1:3">
      <c r="A34" s="11" t="s">
        <v>55</v>
      </c>
      <c r="C34" s="22" t="s">
        <v>98</v>
      </c>
    </row>
    <row r="35" spans="1:3">
      <c r="A35" s="22" t="s">
        <v>87</v>
      </c>
      <c r="C35" s="23" t="s">
        <v>99</v>
      </c>
    </row>
    <row r="36" spans="1:3">
      <c r="A36" s="22" t="s">
        <v>88</v>
      </c>
      <c r="C36" s="22" t="s">
        <v>40</v>
      </c>
    </row>
    <row r="37" spans="1:3">
      <c r="A37" s="22" t="s">
        <v>89</v>
      </c>
      <c r="C37" s="387" t="s">
        <v>41</v>
      </c>
    </row>
    <row r="38" spans="1:3">
      <c r="A38" s="23" t="s">
        <v>90</v>
      </c>
      <c r="C38" s="22" t="s">
        <v>43</v>
      </c>
    </row>
    <row r="39" spans="1:3">
      <c r="A39" s="11" t="s">
        <v>36</v>
      </c>
      <c r="C39" s="22" t="s">
        <v>100</v>
      </c>
    </row>
    <row r="40" spans="1:3">
      <c r="A40" s="22" t="s">
        <v>91</v>
      </c>
      <c r="C40" s="23" t="s">
        <v>101</v>
      </c>
    </row>
    <row r="41" spans="1:3">
      <c r="A41" s="22" t="s">
        <v>92</v>
      </c>
      <c r="C41" s="22" t="s">
        <v>102</v>
      </c>
    </row>
    <row r="42" spans="1:3">
      <c r="A42" s="22" t="s">
        <v>93</v>
      </c>
      <c r="C42" s="22" t="s">
        <v>103</v>
      </c>
    </row>
    <row r="43" spans="1:3">
      <c r="A43" s="22" t="s">
        <v>94</v>
      </c>
      <c r="C43" s="22" t="s">
        <v>104</v>
      </c>
    </row>
    <row r="44" spans="1:3">
      <c r="A44" s="22" t="s">
        <v>95</v>
      </c>
      <c r="C44" s="22" t="s">
        <v>105</v>
      </c>
    </row>
    <row r="45" spans="1:3">
      <c r="A45" s="23" t="s">
        <v>96</v>
      </c>
      <c r="C45" s="22" t="s">
        <v>106</v>
      </c>
    </row>
    <row r="46" spans="1:3">
      <c r="A46" s="11" t="s">
        <v>56</v>
      </c>
      <c r="C46" s="22" t="s">
        <v>107</v>
      </c>
    </row>
    <row r="47" spans="1:3">
      <c r="A47" s="23" t="s">
        <v>97</v>
      </c>
      <c r="C47" s="22" t="s">
        <v>108</v>
      </c>
    </row>
    <row r="48" spans="1:3">
      <c r="A48" s="11" t="s">
        <v>59</v>
      </c>
      <c r="C48" s="22" t="s">
        <v>109</v>
      </c>
    </row>
    <row r="49" spans="1:3">
      <c r="A49" s="22" t="s">
        <v>98</v>
      </c>
      <c r="C49" s="22" t="s">
        <v>110</v>
      </c>
    </row>
    <row r="50" spans="1:3">
      <c r="A50" s="23" t="s">
        <v>99</v>
      </c>
      <c r="C50" s="23" t="s">
        <v>37</v>
      </c>
    </row>
    <row r="51" spans="1:3">
      <c r="A51" s="11" t="s">
        <v>39</v>
      </c>
      <c r="C51" s="22" t="s">
        <v>111</v>
      </c>
    </row>
    <row r="52" spans="1:3">
      <c r="A52" s="22" t="s">
        <v>40</v>
      </c>
      <c r="C52" s="22" t="s">
        <v>112</v>
      </c>
    </row>
    <row r="53" spans="1:3">
      <c r="A53" s="23" t="s">
        <v>113</v>
      </c>
      <c r="C53" s="22" t="s">
        <v>114</v>
      </c>
    </row>
    <row r="54" spans="1:3">
      <c r="A54" s="11" t="s">
        <v>42</v>
      </c>
      <c r="C54" s="22" t="s">
        <v>115</v>
      </c>
    </row>
    <row r="55" spans="1:3">
      <c r="A55" s="22" t="s">
        <v>43</v>
      </c>
      <c r="C55" s="22" t="s">
        <v>116</v>
      </c>
    </row>
    <row r="56" spans="1:3">
      <c r="A56" s="22" t="s">
        <v>100</v>
      </c>
      <c r="C56" s="22" t="s">
        <v>117</v>
      </c>
    </row>
    <row r="57" spans="1:3">
      <c r="A57" s="23" t="s">
        <v>101</v>
      </c>
      <c r="C57" s="22" t="s">
        <v>118</v>
      </c>
    </row>
    <row r="58" spans="1:3">
      <c r="A58" s="11" t="s">
        <v>47</v>
      </c>
      <c r="C58" s="22" t="s">
        <v>119</v>
      </c>
    </row>
    <row r="59" spans="1:3">
      <c r="A59" s="22" t="s">
        <v>102</v>
      </c>
      <c r="C59" s="22" t="s">
        <v>120</v>
      </c>
    </row>
    <row r="60" spans="1:3">
      <c r="A60" s="22" t="s">
        <v>103</v>
      </c>
      <c r="C60" s="22" t="s">
        <v>121</v>
      </c>
    </row>
    <row r="61" spans="1:3">
      <c r="A61" s="22" t="s">
        <v>104</v>
      </c>
      <c r="C61" s="22" t="s">
        <v>122</v>
      </c>
    </row>
    <row r="62" spans="1:3">
      <c r="A62" s="22" t="s">
        <v>105</v>
      </c>
      <c r="C62" s="22" t="s">
        <v>123</v>
      </c>
    </row>
    <row r="63" spans="1:3">
      <c r="A63" s="22" t="s">
        <v>106</v>
      </c>
      <c r="C63" s="23" t="s">
        <v>124</v>
      </c>
    </row>
    <row r="64" spans="1:3">
      <c r="A64" s="22" t="s">
        <v>107</v>
      </c>
      <c r="C64" s="23" t="s">
        <v>125</v>
      </c>
    </row>
    <row r="65" spans="1:3">
      <c r="A65" s="22" t="s">
        <v>108</v>
      </c>
      <c r="C65" s="22" t="s">
        <v>126</v>
      </c>
    </row>
    <row r="66" spans="1:3">
      <c r="A66" s="22" t="s">
        <v>109</v>
      </c>
      <c r="C66" s="22" t="s">
        <v>127</v>
      </c>
    </row>
    <row r="67" spans="1:3">
      <c r="A67" s="22" t="s">
        <v>110</v>
      </c>
      <c r="C67" s="23" t="s">
        <v>128</v>
      </c>
    </row>
    <row r="68" spans="1:3">
      <c r="A68" s="23" t="s">
        <v>37</v>
      </c>
      <c r="C68" s="22" t="s">
        <v>129</v>
      </c>
    </row>
    <row r="69" spans="1:3">
      <c r="A69" s="11" t="s">
        <v>60</v>
      </c>
      <c r="C69" s="23" t="s">
        <v>130</v>
      </c>
    </row>
    <row r="70" spans="1:3">
      <c r="A70" s="22" t="s">
        <v>111</v>
      </c>
      <c r="C70" s="23" t="s">
        <v>131</v>
      </c>
    </row>
    <row r="71" spans="1:3">
      <c r="A71" s="22" t="s">
        <v>112</v>
      </c>
      <c r="C71" s="23" t="s">
        <v>132</v>
      </c>
    </row>
    <row r="72" spans="1:3">
      <c r="A72" s="22" t="s">
        <v>114</v>
      </c>
      <c r="C72" s="23" t="s">
        <v>46</v>
      </c>
    </row>
    <row r="73" spans="1:3">
      <c r="A73" s="22" t="s">
        <v>115</v>
      </c>
      <c r="C73" s="15" t="s">
        <v>133</v>
      </c>
    </row>
    <row r="74" spans="1:3">
      <c r="A74" s="22" t="s">
        <v>116</v>
      </c>
    </row>
    <row r="75" spans="1:3">
      <c r="A75" s="22" t="s">
        <v>117</v>
      </c>
    </row>
    <row r="76" spans="1:3">
      <c r="A76" s="22" t="s">
        <v>118</v>
      </c>
    </row>
    <row r="77" spans="1:3">
      <c r="A77" s="22" t="s">
        <v>119</v>
      </c>
    </row>
    <row r="78" spans="1:3">
      <c r="A78" s="22" t="s">
        <v>120</v>
      </c>
    </row>
    <row r="79" spans="1:3">
      <c r="A79" s="22" t="s">
        <v>121</v>
      </c>
    </row>
    <row r="80" spans="1:3">
      <c r="A80" s="22" t="s">
        <v>122</v>
      </c>
    </row>
    <row r="81" spans="1:1">
      <c r="A81" s="22" t="s">
        <v>123</v>
      </c>
    </row>
    <row r="82" spans="1:1">
      <c r="A82" s="23" t="s">
        <v>124</v>
      </c>
    </row>
    <row r="83" spans="1:1">
      <c r="A83" s="11" t="s">
        <v>63</v>
      </c>
    </row>
    <row r="84" spans="1:1">
      <c r="A84" s="23" t="s">
        <v>125</v>
      </c>
    </row>
    <row r="85" spans="1:1">
      <c r="A85" s="11" t="s">
        <v>65</v>
      </c>
    </row>
    <row r="86" spans="1:1">
      <c r="A86" s="22" t="s">
        <v>126</v>
      </c>
    </row>
    <row r="87" spans="1:1">
      <c r="A87" s="22" t="s">
        <v>127</v>
      </c>
    </row>
    <row r="88" spans="1:1">
      <c r="A88" s="23" t="s">
        <v>128</v>
      </c>
    </row>
    <row r="89" spans="1:1">
      <c r="A89" s="11" t="s">
        <v>68</v>
      </c>
    </row>
    <row r="90" spans="1:1">
      <c r="A90" s="22" t="s">
        <v>129</v>
      </c>
    </row>
    <row r="91" spans="1:1">
      <c r="A91" s="23" t="s">
        <v>130</v>
      </c>
    </row>
    <row r="92" spans="1:1">
      <c r="A92" s="11" t="s">
        <v>71</v>
      </c>
    </row>
    <row r="93" spans="1:1">
      <c r="A93" s="23" t="s">
        <v>131</v>
      </c>
    </row>
    <row r="94" spans="1:1">
      <c r="A94" s="11" t="s">
        <v>73</v>
      </c>
    </row>
    <row r="95" spans="1:1">
      <c r="A95" s="23" t="s">
        <v>132</v>
      </c>
    </row>
    <row r="96" spans="1:1">
      <c r="A96" s="11" t="s">
        <v>45</v>
      </c>
    </row>
    <row r="97" spans="1:1">
      <c r="A97" s="23" t="s">
        <v>46</v>
      </c>
    </row>
  </sheetData>
  <pageMargins left="0.75" right="0.75" top="1" bottom="1" header="0.5" footer="0.5"/>
  <tableParts count="7">
    <tablePart r:id="rId1"/>
    <tablePart r:id="rId2"/>
    <tablePart r:id="rId3"/>
    <tablePart r:id="rId4"/>
    <tablePart r:id="rId5"/>
    <tablePart r:id="rId6"/>
    <tablePart r:id="rId7"/>
  </tablePar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70D9-1E01-406F-8538-0C4AC3C95602}">
  <dimension ref="A1"/>
  <sheetViews>
    <sheetView zoomScaleNormal="100" workbookViewId="0"/>
  </sheetViews>
  <sheetFormatPr defaultColWidth="9" defaultRowHeight="11.4"/>
  <cols>
    <col min="1" max="16384" width="9" style="83"/>
  </cols>
  <sheetData/>
  <pageMargins left="1.1811023622047245" right="0.78740157480314965" top="0.78740157480314965" bottom="0.78740157480314965" header="0.51181102362204722" footer="0.51181102362204722"/>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1D9F-3E08-4290-88E8-26828D65F807}">
  <dimension ref="A1:P53"/>
  <sheetViews>
    <sheetView workbookViewId="0">
      <selection activeCell="E4" sqref="E4"/>
    </sheetView>
  </sheetViews>
  <sheetFormatPr defaultRowHeight="15.6"/>
  <cols>
    <col min="1" max="1" width="33.69921875" bestFit="1" customWidth="1"/>
  </cols>
  <sheetData>
    <row r="1" spans="1:16">
      <c r="A1" t="s">
        <v>134</v>
      </c>
      <c r="B1" s="392">
        <f>'SP11-1'!I29</f>
        <v>0.04</v>
      </c>
      <c r="E1" s="19"/>
      <c r="O1" s="86"/>
      <c r="P1" s="86"/>
    </row>
    <row r="2" spans="1:16">
      <c r="A2" t="s">
        <v>135</v>
      </c>
      <c r="B2" s="393">
        <v>1</v>
      </c>
      <c r="D2" s="20"/>
      <c r="E2" s="21"/>
      <c r="O2" s="86"/>
      <c r="P2" s="86"/>
    </row>
    <row r="3" spans="1:16">
      <c r="A3" t="s">
        <v>136</v>
      </c>
      <c r="B3" s="18">
        <f>'SP11-1'!I41</f>
        <v>0</v>
      </c>
      <c r="C3">
        <f>B3/40</f>
        <v>0</v>
      </c>
      <c r="O3" s="86"/>
      <c r="P3" s="86"/>
    </row>
    <row r="4" spans="1:16">
      <c r="A4" t="s">
        <v>137</v>
      </c>
      <c r="B4">
        <f>'SP11-1'!I28</f>
        <v>0</v>
      </c>
      <c r="C4">
        <f>B4/40</f>
        <v>0</v>
      </c>
      <c r="O4" s="86"/>
      <c r="P4" s="86"/>
    </row>
    <row r="5" spans="1:16">
      <c r="A5" s="20" t="s">
        <v>138</v>
      </c>
      <c r="B5" s="92">
        <f>B10-B9</f>
        <v>-0.98064352657801512</v>
      </c>
      <c r="O5" s="86"/>
      <c r="P5" s="86"/>
    </row>
    <row r="6" spans="1:16">
      <c r="A6" s="20" t="s">
        <v>139</v>
      </c>
      <c r="B6" s="92">
        <f>B10-B9+B3*(B12-B11)</f>
        <v>-0.98064352657801512</v>
      </c>
      <c r="O6" s="86"/>
      <c r="P6" s="86"/>
    </row>
    <row r="7" spans="1:16">
      <c r="A7" s="20" t="s">
        <v>140</v>
      </c>
      <c r="B7" s="92"/>
    </row>
    <row r="8" spans="1:16">
      <c r="A8" s="20" t="s">
        <v>141</v>
      </c>
      <c r="B8" s="92"/>
    </row>
    <row r="9" spans="1:16">
      <c r="A9" s="394" t="s">
        <v>142</v>
      </c>
      <c r="B9" s="394">
        <f>'Tables NEW TABLES'!K279</f>
        <v>0.98064352657801512</v>
      </c>
    </row>
    <row r="10" spans="1:16">
      <c r="A10" s="394" t="s">
        <v>143</v>
      </c>
      <c r="B10" s="395">
        <f>(1-(1+B1)^(-B4))/(LN(1+B1))</f>
        <v>0</v>
      </c>
    </row>
    <row r="11" spans="1:16">
      <c r="A11" s="394" t="s">
        <v>144</v>
      </c>
      <c r="B11" s="316">
        <f>((LN(1+B1))^-2)-(B2*(1+B1)^(B2*(-1))*(LN((1+B1))^-1))-((1+B1)^(B2*(-1))*(LN(1+B1))^-2)</f>
        <v>0.48711671725311589</v>
      </c>
    </row>
    <row r="12" spans="1:16">
      <c r="A12" s="394" t="s">
        <v>145</v>
      </c>
      <c r="B12" s="335">
        <f>((LN(1+B1))^-2)-(B4*(1+B1)^(B4*(-1))*(LN((1+B1))^-1))-((1+B1)^(B4*(-1))*(LN(1+B1))^-2)</f>
        <v>0</v>
      </c>
    </row>
    <row r="13" spans="1:16">
      <c r="A13" s="394" t="s">
        <v>146</v>
      </c>
      <c r="B13" s="394">
        <f>B3*780+B4-1</f>
        <v>-1</v>
      </c>
    </row>
    <row r="14" spans="1:16">
      <c r="B14" s="19"/>
      <c r="C14" s="19"/>
    </row>
    <row r="15" spans="1:16">
      <c r="B15" s="19"/>
      <c r="C15" s="19"/>
    </row>
    <row r="16" spans="1:16">
      <c r="B16" s="19"/>
      <c r="C16" s="19"/>
    </row>
    <row r="17" spans="2:3">
      <c r="B17" s="19"/>
      <c r="C17" s="19"/>
    </row>
    <row r="18" spans="2:3">
      <c r="B18" s="19"/>
      <c r="C18" s="19"/>
    </row>
    <row r="19" spans="2:3">
      <c r="B19" s="19"/>
      <c r="C19" s="19"/>
    </row>
    <row r="20" spans="2:3">
      <c r="B20" s="19"/>
      <c r="C20" s="19"/>
    </row>
    <row r="21" spans="2:3">
      <c r="B21" s="19"/>
      <c r="C21" s="19"/>
    </row>
    <row r="22" spans="2:3">
      <c r="B22" s="19"/>
      <c r="C22" s="19"/>
    </row>
    <row r="23" spans="2:3">
      <c r="B23" s="19"/>
      <c r="C23" s="19"/>
    </row>
    <row r="24" spans="2:3">
      <c r="B24" s="19"/>
      <c r="C24" s="19"/>
    </row>
    <row r="25" spans="2:3">
      <c r="B25" s="19"/>
      <c r="C25" s="19"/>
    </row>
    <row r="26" spans="2:3">
      <c r="B26" s="19"/>
      <c r="C26" s="19"/>
    </row>
    <row r="27" spans="2:3">
      <c r="B27" s="19"/>
      <c r="C27" s="19"/>
    </row>
    <row r="28" spans="2:3">
      <c r="B28" s="19"/>
      <c r="C28" s="19"/>
    </row>
    <row r="29" spans="2:3">
      <c r="B29" s="19"/>
      <c r="C29" s="19"/>
    </row>
    <row r="30" spans="2:3">
      <c r="B30" s="19"/>
      <c r="C30" s="19"/>
    </row>
    <row r="31" spans="2:3">
      <c r="B31" s="19"/>
      <c r="C31" s="19"/>
    </row>
    <row r="32" spans="2:3">
      <c r="B32" s="19"/>
      <c r="C32" s="19"/>
    </row>
    <row r="33" spans="2:3">
      <c r="B33" s="19"/>
      <c r="C33" s="19"/>
    </row>
    <row r="34" spans="2:3">
      <c r="B34" s="19"/>
      <c r="C34" s="19"/>
    </row>
    <row r="35" spans="2:3">
      <c r="B35" s="19"/>
      <c r="C35" s="19"/>
    </row>
    <row r="36" spans="2:3">
      <c r="B36" s="19"/>
      <c r="C36" s="19"/>
    </row>
    <row r="37" spans="2:3">
      <c r="B37" s="19"/>
      <c r="C37" s="19"/>
    </row>
    <row r="38" spans="2:3">
      <c r="B38" s="19"/>
      <c r="C38" s="19"/>
    </row>
    <row r="39" spans="2:3">
      <c r="B39" s="19"/>
      <c r="C39" s="19"/>
    </row>
    <row r="40" spans="2:3">
      <c r="B40" s="19"/>
      <c r="C40" s="19"/>
    </row>
    <row r="41" spans="2:3">
      <c r="B41" s="19"/>
      <c r="C41" s="19"/>
    </row>
    <row r="42" spans="2:3">
      <c r="B42" s="19"/>
      <c r="C42" s="19"/>
    </row>
    <row r="43" spans="2:3">
      <c r="B43" s="19"/>
      <c r="C43" s="19"/>
    </row>
    <row r="44" spans="2:3">
      <c r="B44" s="19"/>
      <c r="C44" s="19"/>
    </row>
    <row r="45" spans="2:3">
      <c r="B45" s="19"/>
      <c r="C45" s="19"/>
    </row>
    <row r="46" spans="2:3">
      <c r="B46" s="19"/>
      <c r="C46" s="19"/>
    </row>
    <row r="47" spans="2:3">
      <c r="B47" s="19"/>
      <c r="C47" s="19"/>
    </row>
    <row r="48" spans="2:3">
      <c r="B48" s="19"/>
      <c r="C48" s="19"/>
    </row>
    <row r="49" spans="2:3">
      <c r="B49" s="19"/>
      <c r="C49" s="19"/>
    </row>
    <row r="50" spans="2:3">
      <c r="B50" s="19"/>
      <c r="C50" s="19"/>
    </row>
    <row r="51" spans="2:3">
      <c r="B51" s="19"/>
      <c r="C51" s="19"/>
    </row>
    <row r="52" spans="2:3">
      <c r="B52" s="19"/>
      <c r="C52" s="19"/>
    </row>
    <row r="53" spans="2:3">
      <c r="B53" s="19"/>
      <c r="C53" s="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A8A2A-3784-49AB-8C32-8685ADE5EAE4}">
  <sheetPr>
    <pageSetUpPr fitToPage="1"/>
  </sheetPr>
  <dimension ref="A1:N363"/>
  <sheetViews>
    <sheetView topLeftCell="D42" zoomScaleNormal="100" workbookViewId="0">
      <selection activeCell="E4" sqref="E4"/>
    </sheetView>
  </sheetViews>
  <sheetFormatPr defaultRowHeight="13.2"/>
  <cols>
    <col min="1" max="1" width="27.69921875" style="83" hidden="1" customWidth="1"/>
    <col min="2" max="2" width="10" style="83" hidden="1" customWidth="1"/>
    <col min="3" max="3" width="6.19921875" style="83" hidden="1" customWidth="1"/>
    <col min="4" max="4" width="39.796875" style="39" customWidth="1"/>
    <col min="5" max="5" width="8.69921875" style="39" bestFit="1" customWidth="1"/>
    <col min="6" max="10" width="13.19921875" style="39" customWidth="1"/>
    <col min="11" max="11" width="3.19921875" style="39" customWidth="1"/>
    <col min="12" max="12" width="100.19921875" style="39" customWidth="1"/>
    <col min="13" max="13" width="2.19921875" style="39" customWidth="1"/>
    <col min="14" max="256" width="9" style="83"/>
    <col min="257" max="259" width="0" style="83" hidden="1" customWidth="1"/>
    <col min="260" max="260" width="39.796875" style="83" customWidth="1"/>
    <col min="261" max="261" width="8.69921875" style="83" bestFit="1" customWidth="1"/>
    <col min="262" max="266" width="13.19921875" style="83" customWidth="1"/>
    <col min="267" max="267" width="3.19921875" style="83" customWidth="1"/>
    <col min="268" max="268" width="100.19921875" style="83" customWidth="1"/>
    <col min="269" max="269" width="2.19921875" style="83" customWidth="1"/>
    <col min="270" max="512" width="9" style="83"/>
    <col min="513" max="515" width="0" style="83" hidden="1" customWidth="1"/>
    <col min="516" max="516" width="39.796875" style="83" customWidth="1"/>
    <col min="517" max="517" width="8.69921875" style="83" bestFit="1" customWidth="1"/>
    <col min="518" max="522" width="13.19921875" style="83" customWidth="1"/>
    <col min="523" max="523" width="3.19921875" style="83" customWidth="1"/>
    <col min="524" max="524" width="100.19921875" style="83" customWidth="1"/>
    <col min="525" max="525" width="2.19921875" style="83" customWidth="1"/>
    <col min="526" max="768" width="9" style="83"/>
    <col min="769" max="771" width="0" style="83" hidden="1" customWidth="1"/>
    <col min="772" max="772" width="39.796875" style="83" customWidth="1"/>
    <col min="773" max="773" width="8.69921875" style="83" bestFit="1" customWidth="1"/>
    <col min="774" max="778" width="13.19921875" style="83" customWidth="1"/>
    <col min="779" max="779" width="3.19921875" style="83" customWidth="1"/>
    <col min="780" max="780" width="100.19921875" style="83" customWidth="1"/>
    <col min="781" max="781" width="2.19921875" style="83" customWidth="1"/>
    <col min="782" max="1024" width="9" style="83"/>
    <col min="1025" max="1027" width="0" style="83" hidden="1" customWidth="1"/>
    <col min="1028" max="1028" width="39.796875" style="83" customWidth="1"/>
    <col min="1029" max="1029" width="8.69921875" style="83" bestFit="1" customWidth="1"/>
    <col min="1030" max="1034" width="13.19921875" style="83" customWidth="1"/>
    <col min="1035" max="1035" width="3.19921875" style="83" customWidth="1"/>
    <col min="1036" max="1036" width="100.19921875" style="83" customWidth="1"/>
    <col min="1037" max="1037" width="2.19921875" style="83" customWidth="1"/>
    <col min="1038" max="1280" width="9" style="83"/>
    <col min="1281" max="1283" width="0" style="83" hidden="1" customWidth="1"/>
    <col min="1284" max="1284" width="39.796875" style="83" customWidth="1"/>
    <col min="1285" max="1285" width="8.69921875" style="83" bestFit="1" customWidth="1"/>
    <col min="1286" max="1290" width="13.19921875" style="83" customWidth="1"/>
    <col min="1291" max="1291" width="3.19921875" style="83" customWidth="1"/>
    <col min="1292" max="1292" width="100.19921875" style="83" customWidth="1"/>
    <col min="1293" max="1293" width="2.19921875" style="83" customWidth="1"/>
    <col min="1294" max="1536" width="9" style="83"/>
    <col min="1537" max="1539" width="0" style="83" hidden="1" customWidth="1"/>
    <col min="1540" max="1540" width="39.796875" style="83" customWidth="1"/>
    <col min="1541" max="1541" width="8.69921875" style="83" bestFit="1" customWidth="1"/>
    <col min="1542" max="1546" width="13.19921875" style="83" customWidth="1"/>
    <col min="1547" max="1547" width="3.19921875" style="83" customWidth="1"/>
    <col min="1548" max="1548" width="100.19921875" style="83" customWidth="1"/>
    <col min="1549" max="1549" width="2.19921875" style="83" customWidth="1"/>
    <col min="1550" max="1792" width="9" style="83"/>
    <col min="1793" max="1795" width="0" style="83" hidden="1" customWidth="1"/>
    <col min="1796" max="1796" width="39.796875" style="83" customWidth="1"/>
    <col min="1797" max="1797" width="8.69921875" style="83" bestFit="1" customWidth="1"/>
    <col min="1798" max="1802" width="13.19921875" style="83" customWidth="1"/>
    <col min="1803" max="1803" width="3.19921875" style="83" customWidth="1"/>
    <col min="1804" max="1804" width="100.19921875" style="83" customWidth="1"/>
    <col min="1805" max="1805" width="2.19921875" style="83" customWidth="1"/>
    <col min="1806" max="2048" width="9" style="83"/>
    <col min="2049" max="2051" width="0" style="83" hidden="1" customWidth="1"/>
    <col min="2052" max="2052" width="39.796875" style="83" customWidth="1"/>
    <col min="2053" max="2053" width="8.69921875" style="83" bestFit="1" customWidth="1"/>
    <col min="2054" max="2058" width="13.19921875" style="83" customWidth="1"/>
    <col min="2059" max="2059" width="3.19921875" style="83" customWidth="1"/>
    <col min="2060" max="2060" width="100.19921875" style="83" customWidth="1"/>
    <col min="2061" max="2061" width="2.19921875" style="83" customWidth="1"/>
    <col min="2062" max="2304" width="9" style="83"/>
    <col min="2305" max="2307" width="0" style="83" hidden="1" customWidth="1"/>
    <col min="2308" max="2308" width="39.796875" style="83" customWidth="1"/>
    <col min="2309" max="2309" width="8.69921875" style="83" bestFit="1" customWidth="1"/>
    <col min="2310" max="2314" width="13.19921875" style="83" customWidth="1"/>
    <col min="2315" max="2315" width="3.19921875" style="83" customWidth="1"/>
    <col min="2316" max="2316" width="100.19921875" style="83" customWidth="1"/>
    <col min="2317" max="2317" width="2.19921875" style="83" customWidth="1"/>
    <col min="2318" max="2560" width="9" style="83"/>
    <col min="2561" max="2563" width="0" style="83" hidden="1" customWidth="1"/>
    <col min="2564" max="2564" width="39.796875" style="83" customWidth="1"/>
    <col min="2565" max="2565" width="8.69921875" style="83" bestFit="1" customWidth="1"/>
    <col min="2566" max="2570" width="13.19921875" style="83" customWidth="1"/>
    <col min="2571" max="2571" width="3.19921875" style="83" customWidth="1"/>
    <col min="2572" max="2572" width="100.19921875" style="83" customWidth="1"/>
    <col min="2573" max="2573" width="2.19921875" style="83" customWidth="1"/>
    <col min="2574" max="2816" width="9" style="83"/>
    <col min="2817" max="2819" width="0" style="83" hidden="1" customWidth="1"/>
    <col min="2820" max="2820" width="39.796875" style="83" customWidth="1"/>
    <col min="2821" max="2821" width="8.69921875" style="83" bestFit="1" customWidth="1"/>
    <col min="2822" max="2826" width="13.19921875" style="83" customWidth="1"/>
    <col min="2827" max="2827" width="3.19921875" style="83" customWidth="1"/>
    <col min="2828" max="2828" width="100.19921875" style="83" customWidth="1"/>
    <col min="2829" max="2829" width="2.19921875" style="83" customWidth="1"/>
    <col min="2830" max="3072" width="9" style="83"/>
    <col min="3073" max="3075" width="0" style="83" hidden="1" customWidth="1"/>
    <col min="3076" max="3076" width="39.796875" style="83" customWidth="1"/>
    <col min="3077" max="3077" width="8.69921875" style="83" bestFit="1" customWidth="1"/>
    <col min="3078" max="3082" width="13.19921875" style="83" customWidth="1"/>
    <col min="3083" max="3083" width="3.19921875" style="83" customWidth="1"/>
    <col min="3084" max="3084" width="100.19921875" style="83" customWidth="1"/>
    <col min="3085" max="3085" width="2.19921875" style="83" customWidth="1"/>
    <col min="3086" max="3328" width="9" style="83"/>
    <col min="3329" max="3331" width="0" style="83" hidden="1" customWidth="1"/>
    <col min="3332" max="3332" width="39.796875" style="83" customWidth="1"/>
    <col min="3333" max="3333" width="8.69921875" style="83" bestFit="1" customWidth="1"/>
    <col min="3334" max="3338" width="13.19921875" style="83" customWidth="1"/>
    <col min="3339" max="3339" width="3.19921875" style="83" customWidth="1"/>
    <col min="3340" max="3340" width="100.19921875" style="83" customWidth="1"/>
    <col min="3341" max="3341" width="2.19921875" style="83" customWidth="1"/>
    <col min="3342" max="3584" width="9" style="83"/>
    <col min="3585" max="3587" width="0" style="83" hidden="1" customWidth="1"/>
    <col min="3588" max="3588" width="39.796875" style="83" customWidth="1"/>
    <col min="3589" max="3589" width="8.69921875" style="83" bestFit="1" customWidth="1"/>
    <col min="3590" max="3594" width="13.19921875" style="83" customWidth="1"/>
    <col min="3595" max="3595" width="3.19921875" style="83" customWidth="1"/>
    <col min="3596" max="3596" width="100.19921875" style="83" customWidth="1"/>
    <col min="3597" max="3597" width="2.19921875" style="83" customWidth="1"/>
    <col min="3598" max="3840" width="9" style="83"/>
    <col min="3841" max="3843" width="0" style="83" hidden="1" customWidth="1"/>
    <col min="3844" max="3844" width="39.796875" style="83" customWidth="1"/>
    <col min="3845" max="3845" width="8.69921875" style="83" bestFit="1" customWidth="1"/>
    <col min="3846" max="3850" width="13.19921875" style="83" customWidth="1"/>
    <col min="3851" max="3851" width="3.19921875" style="83" customWidth="1"/>
    <col min="3852" max="3852" width="100.19921875" style="83" customWidth="1"/>
    <col min="3853" max="3853" width="2.19921875" style="83" customWidth="1"/>
    <col min="3854" max="4096" width="9" style="83"/>
    <col min="4097" max="4099" width="0" style="83" hidden="1" customWidth="1"/>
    <col min="4100" max="4100" width="39.796875" style="83" customWidth="1"/>
    <col min="4101" max="4101" width="8.69921875" style="83" bestFit="1" customWidth="1"/>
    <col min="4102" max="4106" width="13.19921875" style="83" customWidth="1"/>
    <col min="4107" max="4107" width="3.19921875" style="83" customWidth="1"/>
    <col min="4108" max="4108" width="100.19921875" style="83" customWidth="1"/>
    <col min="4109" max="4109" width="2.19921875" style="83" customWidth="1"/>
    <col min="4110" max="4352" width="9" style="83"/>
    <col min="4353" max="4355" width="0" style="83" hidden="1" customWidth="1"/>
    <col min="4356" max="4356" width="39.796875" style="83" customWidth="1"/>
    <col min="4357" max="4357" width="8.69921875" style="83" bestFit="1" customWidth="1"/>
    <col min="4358" max="4362" width="13.19921875" style="83" customWidth="1"/>
    <col min="4363" max="4363" width="3.19921875" style="83" customWidth="1"/>
    <col min="4364" max="4364" width="100.19921875" style="83" customWidth="1"/>
    <col min="4365" max="4365" width="2.19921875" style="83" customWidth="1"/>
    <col min="4366" max="4608" width="9" style="83"/>
    <col min="4609" max="4611" width="0" style="83" hidden="1" customWidth="1"/>
    <col min="4612" max="4612" width="39.796875" style="83" customWidth="1"/>
    <col min="4613" max="4613" width="8.69921875" style="83" bestFit="1" customWidth="1"/>
    <col min="4614" max="4618" width="13.19921875" style="83" customWidth="1"/>
    <col min="4619" max="4619" width="3.19921875" style="83" customWidth="1"/>
    <col min="4620" max="4620" width="100.19921875" style="83" customWidth="1"/>
    <col min="4621" max="4621" width="2.19921875" style="83" customWidth="1"/>
    <col min="4622" max="4864" width="9" style="83"/>
    <col min="4865" max="4867" width="0" style="83" hidden="1" customWidth="1"/>
    <col min="4868" max="4868" width="39.796875" style="83" customWidth="1"/>
    <col min="4869" max="4869" width="8.69921875" style="83" bestFit="1" customWidth="1"/>
    <col min="4870" max="4874" width="13.19921875" style="83" customWidth="1"/>
    <col min="4875" max="4875" width="3.19921875" style="83" customWidth="1"/>
    <col min="4876" max="4876" width="100.19921875" style="83" customWidth="1"/>
    <col min="4877" max="4877" width="2.19921875" style="83" customWidth="1"/>
    <col min="4878" max="5120" width="9" style="83"/>
    <col min="5121" max="5123" width="0" style="83" hidden="1" customWidth="1"/>
    <col min="5124" max="5124" width="39.796875" style="83" customWidth="1"/>
    <col min="5125" max="5125" width="8.69921875" style="83" bestFit="1" customWidth="1"/>
    <col min="5126" max="5130" width="13.19921875" style="83" customWidth="1"/>
    <col min="5131" max="5131" width="3.19921875" style="83" customWidth="1"/>
    <col min="5132" max="5132" width="100.19921875" style="83" customWidth="1"/>
    <col min="5133" max="5133" width="2.19921875" style="83" customWidth="1"/>
    <col min="5134" max="5376" width="9" style="83"/>
    <col min="5377" max="5379" width="0" style="83" hidden="1" customWidth="1"/>
    <col min="5380" max="5380" width="39.796875" style="83" customWidth="1"/>
    <col min="5381" max="5381" width="8.69921875" style="83" bestFit="1" customWidth="1"/>
    <col min="5382" max="5386" width="13.19921875" style="83" customWidth="1"/>
    <col min="5387" max="5387" width="3.19921875" style="83" customWidth="1"/>
    <col min="5388" max="5388" width="100.19921875" style="83" customWidth="1"/>
    <col min="5389" max="5389" width="2.19921875" style="83" customWidth="1"/>
    <col min="5390" max="5632" width="9" style="83"/>
    <col min="5633" max="5635" width="0" style="83" hidden="1" customWidth="1"/>
    <col min="5636" max="5636" width="39.796875" style="83" customWidth="1"/>
    <col min="5637" max="5637" width="8.69921875" style="83" bestFit="1" customWidth="1"/>
    <col min="5638" max="5642" width="13.19921875" style="83" customWidth="1"/>
    <col min="5643" max="5643" width="3.19921875" style="83" customWidth="1"/>
    <col min="5644" max="5644" width="100.19921875" style="83" customWidth="1"/>
    <col min="5645" max="5645" width="2.19921875" style="83" customWidth="1"/>
    <col min="5646" max="5888" width="9" style="83"/>
    <col min="5889" max="5891" width="0" style="83" hidden="1" customWidth="1"/>
    <col min="5892" max="5892" width="39.796875" style="83" customWidth="1"/>
    <col min="5893" max="5893" width="8.69921875" style="83" bestFit="1" customWidth="1"/>
    <col min="5894" max="5898" width="13.19921875" style="83" customWidth="1"/>
    <col min="5899" max="5899" width="3.19921875" style="83" customWidth="1"/>
    <col min="5900" max="5900" width="100.19921875" style="83" customWidth="1"/>
    <col min="5901" max="5901" width="2.19921875" style="83" customWidth="1"/>
    <col min="5902" max="6144" width="9" style="83"/>
    <col min="6145" max="6147" width="0" style="83" hidden="1" customWidth="1"/>
    <col min="6148" max="6148" width="39.796875" style="83" customWidth="1"/>
    <col min="6149" max="6149" width="8.69921875" style="83" bestFit="1" customWidth="1"/>
    <col min="6150" max="6154" width="13.19921875" style="83" customWidth="1"/>
    <col min="6155" max="6155" width="3.19921875" style="83" customWidth="1"/>
    <col min="6156" max="6156" width="100.19921875" style="83" customWidth="1"/>
    <col min="6157" max="6157" width="2.19921875" style="83" customWidth="1"/>
    <col min="6158" max="6400" width="9" style="83"/>
    <col min="6401" max="6403" width="0" style="83" hidden="1" customWidth="1"/>
    <col min="6404" max="6404" width="39.796875" style="83" customWidth="1"/>
    <col min="6405" max="6405" width="8.69921875" style="83" bestFit="1" customWidth="1"/>
    <col min="6406" max="6410" width="13.19921875" style="83" customWidth="1"/>
    <col min="6411" max="6411" width="3.19921875" style="83" customWidth="1"/>
    <col min="6412" max="6412" width="100.19921875" style="83" customWidth="1"/>
    <col min="6413" max="6413" width="2.19921875" style="83" customWidth="1"/>
    <col min="6414" max="6656" width="9" style="83"/>
    <col min="6657" max="6659" width="0" style="83" hidden="1" customWidth="1"/>
    <col min="6660" max="6660" width="39.796875" style="83" customWidth="1"/>
    <col min="6661" max="6661" width="8.69921875" style="83" bestFit="1" customWidth="1"/>
    <col min="6662" max="6666" width="13.19921875" style="83" customWidth="1"/>
    <col min="6667" max="6667" width="3.19921875" style="83" customWidth="1"/>
    <col min="6668" max="6668" width="100.19921875" style="83" customWidth="1"/>
    <col min="6669" max="6669" width="2.19921875" style="83" customWidth="1"/>
    <col min="6670" max="6912" width="9" style="83"/>
    <col min="6913" max="6915" width="0" style="83" hidden="1" customWidth="1"/>
    <col min="6916" max="6916" width="39.796875" style="83" customWidth="1"/>
    <col min="6917" max="6917" width="8.69921875" style="83" bestFit="1" customWidth="1"/>
    <col min="6918" max="6922" width="13.19921875" style="83" customWidth="1"/>
    <col min="6923" max="6923" width="3.19921875" style="83" customWidth="1"/>
    <col min="6924" max="6924" width="100.19921875" style="83" customWidth="1"/>
    <col min="6925" max="6925" width="2.19921875" style="83" customWidth="1"/>
    <col min="6926" max="7168" width="9" style="83"/>
    <col min="7169" max="7171" width="0" style="83" hidden="1" customWidth="1"/>
    <col min="7172" max="7172" width="39.796875" style="83" customWidth="1"/>
    <col min="7173" max="7173" width="8.69921875" style="83" bestFit="1" customWidth="1"/>
    <col min="7174" max="7178" width="13.19921875" style="83" customWidth="1"/>
    <col min="7179" max="7179" width="3.19921875" style="83" customWidth="1"/>
    <col min="7180" max="7180" width="100.19921875" style="83" customWidth="1"/>
    <col min="7181" max="7181" width="2.19921875" style="83" customWidth="1"/>
    <col min="7182" max="7424" width="9" style="83"/>
    <col min="7425" max="7427" width="0" style="83" hidden="1" customWidth="1"/>
    <col min="7428" max="7428" width="39.796875" style="83" customWidth="1"/>
    <col min="7429" max="7429" width="8.69921875" style="83" bestFit="1" customWidth="1"/>
    <col min="7430" max="7434" width="13.19921875" style="83" customWidth="1"/>
    <col min="7435" max="7435" width="3.19921875" style="83" customWidth="1"/>
    <col min="7436" max="7436" width="100.19921875" style="83" customWidth="1"/>
    <col min="7437" max="7437" width="2.19921875" style="83" customWidth="1"/>
    <col min="7438" max="7680" width="9" style="83"/>
    <col min="7681" max="7683" width="0" style="83" hidden="1" customWidth="1"/>
    <col min="7684" max="7684" width="39.796875" style="83" customWidth="1"/>
    <col min="7685" max="7685" width="8.69921875" style="83" bestFit="1" customWidth="1"/>
    <col min="7686" max="7690" width="13.19921875" style="83" customWidth="1"/>
    <col min="7691" max="7691" width="3.19921875" style="83" customWidth="1"/>
    <col min="7692" max="7692" width="100.19921875" style="83" customWidth="1"/>
    <col min="7693" max="7693" width="2.19921875" style="83" customWidth="1"/>
    <col min="7694" max="7936" width="9" style="83"/>
    <col min="7937" max="7939" width="0" style="83" hidden="1" customWidth="1"/>
    <col min="7940" max="7940" width="39.796875" style="83" customWidth="1"/>
    <col min="7941" max="7941" width="8.69921875" style="83" bestFit="1" customWidth="1"/>
    <col min="7942" max="7946" width="13.19921875" style="83" customWidth="1"/>
    <col min="7947" max="7947" width="3.19921875" style="83" customWidth="1"/>
    <col min="7948" max="7948" width="100.19921875" style="83" customWidth="1"/>
    <col min="7949" max="7949" width="2.19921875" style="83" customWidth="1"/>
    <col min="7950" max="8192" width="9" style="83"/>
    <col min="8193" max="8195" width="0" style="83" hidden="1" customWidth="1"/>
    <col min="8196" max="8196" width="39.796875" style="83" customWidth="1"/>
    <col min="8197" max="8197" width="8.69921875" style="83" bestFit="1" customWidth="1"/>
    <col min="8198" max="8202" width="13.19921875" style="83" customWidth="1"/>
    <col min="8203" max="8203" width="3.19921875" style="83" customWidth="1"/>
    <col min="8204" max="8204" width="100.19921875" style="83" customWidth="1"/>
    <col min="8205" max="8205" width="2.19921875" style="83" customWidth="1"/>
    <col min="8206" max="8448" width="9" style="83"/>
    <col min="8449" max="8451" width="0" style="83" hidden="1" customWidth="1"/>
    <col min="8452" max="8452" width="39.796875" style="83" customWidth="1"/>
    <col min="8453" max="8453" width="8.69921875" style="83" bestFit="1" customWidth="1"/>
    <col min="8454" max="8458" width="13.19921875" style="83" customWidth="1"/>
    <col min="8459" max="8459" width="3.19921875" style="83" customWidth="1"/>
    <col min="8460" max="8460" width="100.19921875" style="83" customWidth="1"/>
    <col min="8461" max="8461" width="2.19921875" style="83" customWidth="1"/>
    <col min="8462" max="8704" width="9" style="83"/>
    <col min="8705" max="8707" width="0" style="83" hidden="1" customWidth="1"/>
    <col min="8708" max="8708" width="39.796875" style="83" customWidth="1"/>
    <col min="8709" max="8709" width="8.69921875" style="83" bestFit="1" customWidth="1"/>
    <col min="8710" max="8714" width="13.19921875" style="83" customWidth="1"/>
    <col min="8715" max="8715" width="3.19921875" style="83" customWidth="1"/>
    <col min="8716" max="8716" width="100.19921875" style="83" customWidth="1"/>
    <col min="8717" max="8717" width="2.19921875" style="83" customWidth="1"/>
    <col min="8718" max="8960" width="9" style="83"/>
    <col min="8961" max="8963" width="0" style="83" hidden="1" customWidth="1"/>
    <col min="8964" max="8964" width="39.796875" style="83" customWidth="1"/>
    <col min="8965" max="8965" width="8.69921875" style="83" bestFit="1" customWidth="1"/>
    <col min="8966" max="8970" width="13.19921875" style="83" customWidth="1"/>
    <col min="8971" max="8971" width="3.19921875" style="83" customWidth="1"/>
    <col min="8972" max="8972" width="100.19921875" style="83" customWidth="1"/>
    <col min="8973" max="8973" width="2.19921875" style="83" customWidth="1"/>
    <col min="8974" max="9216" width="9" style="83"/>
    <col min="9217" max="9219" width="0" style="83" hidden="1" customWidth="1"/>
    <col min="9220" max="9220" width="39.796875" style="83" customWidth="1"/>
    <col min="9221" max="9221" width="8.69921875" style="83" bestFit="1" customWidth="1"/>
    <col min="9222" max="9226" width="13.19921875" style="83" customWidth="1"/>
    <col min="9227" max="9227" width="3.19921875" style="83" customWidth="1"/>
    <col min="9228" max="9228" width="100.19921875" style="83" customWidth="1"/>
    <col min="9229" max="9229" width="2.19921875" style="83" customWidth="1"/>
    <col min="9230" max="9472" width="9" style="83"/>
    <col min="9473" max="9475" width="0" style="83" hidden="1" customWidth="1"/>
    <col min="9476" max="9476" width="39.796875" style="83" customWidth="1"/>
    <col min="9477" max="9477" width="8.69921875" style="83" bestFit="1" customWidth="1"/>
    <col min="9478" max="9482" width="13.19921875" style="83" customWidth="1"/>
    <col min="9483" max="9483" width="3.19921875" style="83" customWidth="1"/>
    <col min="9484" max="9484" width="100.19921875" style="83" customWidth="1"/>
    <col min="9485" max="9485" width="2.19921875" style="83" customWidth="1"/>
    <col min="9486" max="9728" width="9" style="83"/>
    <col min="9729" max="9731" width="0" style="83" hidden="1" customWidth="1"/>
    <col min="9732" max="9732" width="39.796875" style="83" customWidth="1"/>
    <col min="9733" max="9733" width="8.69921875" style="83" bestFit="1" customWidth="1"/>
    <col min="9734" max="9738" width="13.19921875" style="83" customWidth="1"/>
    <col min="9739" max="9739" width="3.19921875" style="83" customWidth="1"/>
    <col min="9740" max="9740" width="100.19921875" style="83" customWidth="1"/>
    <col min="9741" max="9741" width="2.19921875" style="83" customWidth="1"/>
    <col min="9742" max="9984" width="9" style="83"/>
    <col min="9985" max="9987" width="0" style="83" hidden="1" customWidth="1"/>
    <col min="9988" max="9988" width="39.796875" style="83" customWidth="1"/>
    <col min="9989" max="9989" width="8.69921875" style="83" bestFit="1" customWidth="1"/>
    <col min="9990" max="9994" width="13.19921875" style="83" customWidth="1"/>
    <col min="9995" max="9995" width="3.19921875" style="83" customWidth="1"/>
    <col min="9996" max="9996" width="100.19921875" style="83" customWidth="1"/>
    <col min="9997" max="9997" width="2.19921875" style="83" customWidth="1"/>
    <col min="9998" max="10240" width="9" style="83"/>
    <col min="10241" max="10243" width="0" style="83" hidden="1" customWidth="1"/>
    <col min="10244" max="10244" width="39.796875" style="83" customWidth="1"/>
    <col min="10245" max="10245" width="8.69921875" style="83" bestFit="1" customWidth="1"/>
    <col min="10246" max="10250" width="13.19921875" style="83" customWidth="1"/>
    <col min="10251" max="10251" width="3.19921875" style="83" customWidth="1"/>
    <col min="10252" max="10252" width="100.19921875" style="83" customWidth="1"/>
    <col min="10253" max="10253" width="2.19921875" style="83" customWidth="1"/>
    <col min="10254" max="10496" width="9" style="83"/>
    <col min="10497" max="10499" width="0" style="83" hidden="1" customWidth="1"/>
    <col min="10500" max="10500" width="39.796875" style="83" customWidth="1"/>
    <col min="10501" max="10501" width="8.69921875" style="83" bestFit="1" customWidth="1"/>
    <col min="10502" max="10506" width="13.19921875" style="83" customWidth="1"/>
    <col min="10507" max="10507" width="3.19921875" style="83" customWidth="1"/>
    <col min="10508" max="10508" width="100.19921875" style="83" customWidth="1"/>
    <col min="10509" max="10509" width="2.19921875" style="83" customWidth="1"/>
    <col min="10510" max="10752" width="9" style="83"/>
    <col min="10753" max="10755" width="0" style="83" hidden="1" customWidth="1"/>
    <col min="10756" max="10756" width="39.796875" style="83" customWidth="1"/>
    <col min="10757" max="10757" width="8.69921875" style="83" bestFit="1" customWidth="1"/>
    <col min="10758" max="10762" width="13.19921875" style="83" customWidth="1"/>
    <col min="10763" max="10763" width="3.19921875" style="83" customWidth="1"/>
    <col min="10764" max="10764" width="100.19921875" style="83" customWidth="1"/>
    <col min="10765" max="10765" width="2.19921875" style="83" customWidth="1"/>
    <col min="10766" max="11008" width="9" style="83"/>
    <col min="11009" max="11011" width="0" style="83" hidden="1" customWidth="1"/>
    <col min="11012" max="11012" width="39.796875" style="83" customWidth="1"/>
    <col min="11013" max="11013" width="8.69921875" style="83" bestFit="1" customWidth="1"/>
    <col min="11014" max="11018" width="13.19921875" style="83" customWidth="1"/>
    <col min="11019" max="11019" width="3.19921875" style="83" customWidth="1"/>
    <col min="11020" max="11020" width="100.19921875" style="83" customWidth="1"/>
    <col min="11021" max="11021" width="2.19921875" style="83" customWidth="1"/>
    <col min="11022" max="11264" width="9" style="83"/>
    <col min="11265" max="11267" width="0" style="83" hidden="1" customWidth="1"/>
    <col min="11268" max="11268" width="39.796875" style="83" customWidth="1"/>
    <col min="11269" max="11269" width="8.69921875" style="83" bestFit="1" customWidth="1"/>
    <col min="11270" max="11274" width="13.19921875" style="83" customWidth="1"/>
    <col min="11275" max="11275" width="3.19921875" style="83" customWidth="1"/>
    <col min="11276" max="11276" width="100.19921875" style="83" customWidth="1"/>
    <col min="11277" max="11277" width="2.19921875" style="83" customWidth="1"/>
    <col min="11278" max="11520" width="9" style="83"/>
    <col min="11521" max="11523" width="0" style="83" hidden="1" customWidth="1"/>
    <col min="11524" max="11524" width="39.796875" style="83" customWidth="1"/>
    <col min="11525" max="11525" width="8.69921875" style="83" bestFit="1" customWidth="1"/>
    <col min="11526" max="11530" width="13.19921875" style="83" customWidth="1"/>
    <col min="11531" max="11531" width="3.19921875" style="83" customWidth="1"/>
    <col min="11532" max="11532" width="100.19921875" style="83" customWidth="1"/>
    <col min="11533" max="11533" width="2.19921875" style="83" customWidth="1"/>
    <col min="11534" max="11776" width="9" style="83"/>
    <col min="11777" max="11779" width="0" style="83" hidden="1" customWidth="1"/>
    <col min="11780" max="11780" width="39.796875" style="83" customWidth="1"/>
    <col min="11781" max="11781" width="8.69921875" style="83" bestFit="1" customWidth="1"/>
    <col min="11782" max="11786" width="13.19921875" style="83" customWidth="1"/>
    <col min="11787" max="11787" width="3.19921875" style="83" customWidth="1"/>
    <col min="11788" max="11788" width="100.19921875" style="83" customWidth="1"/>
    <col min="11789" max="11789" width="2.19921875" style="83" customWidth="1"/>
    <col min="11790" max="12032" width="9" style="83"/>
    <col min="12033" max="12035" width="0" style="83" hidden="1" customWidth="1"/>
    <col min="12036" max="12036" width="39.796875" style="83" customWidth="1"/>
    <col min="12037" max="12037" width="8.69921875" style="83" bestFit="1" customWidth="1"/>
    <col min="12038" max="12042" width="13.19921875" style="83" customWidth="1"/>
    <col min="12043" max="12043" width="3.19921875" style="83" customWidth="1"/>
    <col min="12044" max="12044" width="100.19921875" style="83" customWidth="1"/>
    <col min="12045" max="12045" width="2.19921875" style="83" customWidth="1"/>
    <col min="12046" max="12288" width="9" style="83"/>
    <col min="12289" max="12291" width="0" style="83" hidden="1" customWidth="1"/>
    <col min="12292" max="12292" width="39.796875" style="83" customWidth="1"/>
    <col min="12293" max="12293" width="8.69921875" style="83" bestFit="1" customWidth="1"/>
    <col min="12294" max="12298" width="13.19921875" style="83" customWidth="1"/>
    <col min="12299" max="12299" width="3.19921875" style="83" customWidth="1"/>
    <col min="12300" max="12300" width="100.19921875" style="83" customWidth="1"/>
    <col min="12301" max="12301" width="2.19921875" style="83" customWidth="1"/>
    <col min="12302" max="12544" width="9" style="83"/>
    <col min="12545" max="12547" width="0" style="83" hidden="1" customWidth="1"/>
    <col min="12548" max="12548" width="39.796875" style="83" customWidth="1"/>
    <col min="12549" max="12549" width="8.69921875" style="83" bestFit="1" customWidth="1"/>
    <col min="12550" max="12554" width="13.19921875" style="83" customWidth="1"/>
    <col min="12555" max="12555" width="3.19921875" style="83" customWidth="1"/>
    <col min="12556" max="12556" width="100.19921875" style="83" customWidth="1"/>
    <col min="12557" max="12557" width="2.19921875" style="83" customWidth="1"/>
    <col min="12558" max="12800" width="9" style="83"/>
    <col min="12801" max="12803" width="0" style="83" hidden="1" customWidth="1"/>
    <col min="12804" max="12804" width="39.796875" style="83" customWidth="1"/>
    <col min="12805" max="12805" width="8.69921875" style="83" bestFit="1" customWidth="1"/>
    <col min="12806" max="12810" width="13.19921875" style="83" customWidth="1"/>
    <col min="12811" max="12811" width="3.19921875" style="83" customWidth="1"/>
    <col min="12812" max="12812" width="100.19921875" style="83" customWidth="1"/>
    <col min="12813" max="12813" width="2.19921875" style="83" customWidth="1"/>
    <col min="12814" max="13056" width="9" style="83"/>
    <col min="13057" max="13059" width="0" style="83" hidden="1" customWidth="1"/>
    <col min="13060" max="13060" width="39.796875" style="83" customWidth="1"/>
    <col min="13061" max="13061" width="8.69921875" style="83" bestFit="1" customWidth="1"/>
    <col min="13062" max="13066" width="13.19921875" style="83" customWidth="1"/>
    <col min="13067" max="13067" width="3.19921875" style="83" customWidth="1"/>
    <col min="13068" max="13068" width="100.19921875" style="83" customWidth="1"/>
    <col min="13069" max="13069" width="2.19921875" style="83" customWidth="1"/>
    <col min="13070" max="13312" width="9" style="83"/>
    <col min="13313" max="13315" width="0" style="83" hidden="1" customWidth="1"/>
    <col min="13316" max="13316" width="39.796875" style="83" customWidth="1"/>
    <col min="13317" max="13317" width="8.69921875" style="83" bestFit="1" customWidth="1"/>
    <col min="13318" max="13322" width="13.19921875" style="83" customWidth="1"/>
    <col min="13323" max="13323" width="3.19921875" style="83" customWidth="1"/>
    <col min="13324" max="13324" width="100.19921875" style="83" customWidth="1"/>
    <col min="13325" max="13325" width="2.19921875" style="83" customWidth="1"/>
    <col min="13326" max="13568" width="9" style="83"/>
    <col min="13569" max="13571" width="0" style="83" hidden="1" customWidth="1"/>
    <col min="13572" max="13572" width="39.796875" style="83" customWidth="1"/>
    <col min="13573" max="13573" width="8.69921875" style="83" bestFit="1" customWidth="1"/>
    <col min="13574" max="13578" width="13.19921875" style="83" customWidth="1"/>
    <col min="13579" max="13579" width="3.19921875" style="83" customWidth="1"/>
    <col min="13580" max="13580" width="100.19921875" style="83" customWidth="1"/>
    <col min="13581" max="13581" width="2.19921875" style="83" customWidth="1"/>
    <col min="13582" max="13824" width="9" style="83"/>
    <col min="13825" max="13827" width="0" style="83" hidden="1" customWidth="1"/>
    <col min="13828" max="13828" width="39.796875" style="83" customWidth="1"/>
    <col min="13829" max="13829" width="8.69921875" style="83" bestFit="1" customWidth="1"/>
    <col min="13830" max="13834" width="13.19921875" style="83" customWidth="1"/>
    <col min="13835" max="13835" width="3.19921875" style="83" customWidth="1"/>
    <col min="13836" max="13836" width="100.19921875" style="83" customWidth="1"/>
    <col min="13837" max="13837" width="2.19921875" style="83" customWidth="1"/>
    <col min="13838" max="14080" width="9" style="83"/>
    <col min="14081" max="14083" width="0" style="83" hidden="1" customWidth="1"/>
    <col min="14084" max="14084" width="39.796875" style="83" customWidth="1"/>
    <col min="14085" max="14085" width="8.69921875" style="83" bestFit="1" customWidth="1"/>
    <col min="14086" max="14090" width="13.19921875" style="83" customWidth="1"/>
    <col min="14091" max="14091" width="3.19921875" style="83" customWidth="1"/>
    <col min="14092" max="14092" width="100.19921875" style="83" customWidth="1"/>
    <col min="14093" max="14093" width="2.19921875" style="83" customWidth="1"/>
    <col min="14094" max="14336" width="9" style="83"/>
    <col min="14337" max="14339" width="0" style="83" hidden="1" customWidth="1"/>
    <col min="14340" max="14340" width="39.796875" style="83" customWidth="1"/>
    <col min="14341" max="14341" width="8.69921875" style="83" bestFit="1" customWidth="1"/>
    <col min="14342" max="14346" width="13.19921875" style="83" customWidth="1"/>
    <col min="14347" max="14347" width="3.19921875" style="83" customWidth="1"/>
    <col min="14348" max="14348" width="100.19921875" style="83" customWidth="1"/>
    <col min="14349" max="14349" width="2.19921875" style="83" customWidth="1"/>
    <col min="14350" max="14592" width="9" style="83"/>
    <col min="14593" max="14595" width="0" style="83" hidden="1" customWidth="1"/>
    <col min="14596" max="14596" width="39.796875" style="83" customWidth="1"/>
    <col min="14597" max="14597" width="8.69921875" style="83" bestFit="1" customWidth="1"/>
    <col min="14598" max="14602" width="13.19921875" style="83" customWidth="1"/>
    <col min="14603" max="14603" width="3.19921875" style="83" customWidth="1"/>
    <col min="14604" max="14604" width="100.19921875" style="83" customWidth="1"/>
    <col min="14605" max="14605" width="2.19921875" style="83" customWidth="1"/>
    <col min="14606" max="14848" width="9" style="83"/>
    <col min="14849" max="14851" width="0" style="83" hidden="1" customWidth="1"/>
    <col min="14852" max="14852" width="39.796875" style="83" customWidth="1"/>
    <col min="14853" max="14853" width="8.69921875" style="83" bestFit="1" customWidth="1"/>
    <col min="14854" max="14858" width="13.19921875" style="83" customWidth="1"/>
    <col min="14859" max="14859" width="3.19921875" style="83" customWidth="1"/>
    <col min="14860" max="14860" width="100.19921875" style="83" customWidth="1"/>
    <col min="14861" max="14861" width="2.19921875" style="83" customWidth="1"/>
    <col min="14862" max="15104" width="9" style="83"/>
    <col min="15105" max="15107" width="0" style="83" hidden="1" customWidth="1"/>
    <col min="15108" max="15108" width="39.796875" style="83" customWidth="1"/>
    <col min="15109" max="15109" width="8.69921875" style="83" bestFit="1" customWidth="1"/>
    <col min="15110" max="15114" width="13.19921875" style="83" customWidth="1"/>
    <col min="15115" max="15115" width="3.19921875" style="83" customWidth="1"/>
    <col min="15116" max="15116" width="100.19921875" style="83" customWidth="1"/>
    <col min="15117" max="15117" width="2.19921875" style="83" customWidth="1"/>
    <col min="15118" max="15360" width="9" style="83"/>
    <col min="15361" max="15363" width="0" style="83" hidden="1" customWidth="1"/>
    <col min="15364" max="15364" width="39.796875" style="83" customWidth="1"/>
    <col min="15365" max="15365" width="8.69921875" style="83" bestFit="1" customWidth="1"/>
    <col min="15366" max="15370" width="13.19921875" style="83" customWidth="1"/>
    <col min="15371" max="15371" width="3.19921875" style="83" customWidth="1"/>
    <col min="15372" max="15372" width="100.19921875" style="83" customWidth="1"/>
    <col min="15373" max="15373" width="2.19921875" style="83" customWidth="1"/>
    <col min="15374" max="15616" width="9" style="83"/>
    <col min="15617" max="15619" width="0" style="83" hidden="1" customWidth="1"/>
    <col min="15620" max="15620" width="39.796875" style="83" customWidth="1"/>
    <col min="15621" max="15621" width="8.69921875" style="83" bestFit="1" customWidth="1"/>
    <col min="15622" max="15626" width="13.19921875" style="83" customWidth="1"/>
    <col min="15627" max="15627" width="3.19921875" style="83" customWidth="1"/>
    <col min="15628" max="15628" width="100.19921875" style="83" customWidth="1"/>
    <col min="15629" max="15629" width="2.19921875" style="83" customWidth="1"/>
    <col min="15630" max="15872" width="9" style="83"/>
    <col min="15873" max="15875" width="0" style="83" hidden="1" customWidth="1"/>
    <col min="15876" max="15876" width="39.796875" style="83" customWidth="1"/>
    <col min="15877" max="15877" width="8.69921875" style="83" bestFit="1" customWidth="1"/>
    <col min="15878" max="15882" width="13.19921875" style="83" customWidth="1"/>
    <col min="15883" max="15883" width="3.19921875" style="83" customWidth="1"/>
    <col min="15884" max="15884" width="100.19921875" style="83" customWidth="1"/>
    <col min="15885" max="15885" width="2.19921875" style="83" customWidth="1"/>
    <col min="15886" max="16128" width="9" style="83"/>
    <col min="16129" max="16131" width="0" style="83" hidden="1" customWidth="1"/>
    <col min="16132" max="16132" width="39.796875" style="83" customWidth="1"/>
    <col min="16133" max="16133" width="8.69921875" style="83" bestFit="1" customWidth="1"/>
    <col min="16134" max="16138" width="13.19921875" style="83" customWidth="1"/>
    <col min="16139" max="16139" width="3.19921875" style="83" customWidth="1"/>
    <col min="16140" max="16140" width="100.19921875" style="83" customWidth="1"/>
    <col min="16141" max="16141" width="2.19921875" style="83" customWidth="1"/>
    <col min="16142" max="16384" width="9" style="83"/>
  </cols>
  <sheetData>
    <row r="1" spans="1:14" ht="14.4">
      <c r="A1" s="55" t="s">
        <v>147</v>
      </c>
      <c r="B1" s="55" t="s">
        <v>148</v>
      </c>
      <c r="C1" s="54" t="s">
        <v>149</v>
      </c>
      <c r="D1" s="99" t="s">
        <v>150</v>
      </c>
      <c r="F1" s="29" t="s">
        <v>151</v>
      </c>
      <c r="J1" s="53" t="s">
        <v>152</v>
      </c>
      <c r="N1" s="28"/>
    </row>
    <row r="2" spans="1:14" ht="14.4">
      <c r="A2" s="31" t="s">
        <v>153</v>
      </c>
      <c r="B2" s="31"/>
      <c r="C2" s="47">
        <f>F8</f>
        <v>0</v>
      </c>
      <c r="D2" s="100" t="s">
        <v>154</v>
      </c>
      <c r="E2" s="101"/>
      <c r="F2" s="101"/>
      <c r="G2" s="101"/>
      <c r="H2" s="101"/>
      <c r="I2" s="101"/>
      <c r="J2" s="101"/>
      <c r="K2" s="101"/>
      <c r="L2" s="102" t="s">
        <v>155</v>
      </c>
      <c r="M2" s="101"/>
      <c r="N2" s="103"/>
    </row>
    <row r="3" spans="1:14" ht="13.8">
      <c r="A3" s="31" t="s">
        <v>156</v>
      </c>
      <c r="B3" s="31"/>
      <c r="C3" s="45">
        <f>F10</f>
        <v>0</v>
      </c>
      <c r="D3" s="40" t="s">
        <v>157</v>
      </c>
      <c r="E3" s="40"/>
      <c r="F3" s="560">
        <f>'SP11-1'!E13</f>
        <v>0</v>
      </c>
      <c r="G3" s="560"/>
      <c r="H3" s="560"/>
      <c r="I3" s="104"/>
      <c r="J3" s="104"/>
      <c r="L3" s="32"/>
      <c r="N3" s="28"/>
    </row>
    <row r="4" spans="1:14" ht="13.8">
      <c r="A4" s="31" t="s">
        <v>158</v>
      </c>
      <c r="B4" s="31"/>
      <c r="C4" s="45">
        <f>F12</f>
        <v>0</v>
      </c>
      <c r="D4" s="40" t="s">
        <v>159</v>
      </c>
      <c r="E4" s="40"/>
      <c r="F4" s="560">
        <f>'SP11-1'!E14</f>
        <v>0</v>
      </c>
      <c r="G4" s="560"/>
      <c r="H4" s="560"/>
      <c r="I4" s="105"/>
      <c r="J4" s="104"/>
      <c r="L4" s="32"/>
      <c r="N4" s="28"/>
    </row>
    <row r="5" spans="1:14" ht="13.8">
      <c r="A5" s="31" t="s">
        <v>160</v>
      </c>
      <c r="B5" s="31" t="s">
        <v>161</v>
      </c>
      <c r="C5" s="45">
        <f>F22</f>
        <v>0</v>
      </c>
      <c r="D5" s="40"/>
      <c r="E5" s="40"/>
      <c r="F5" s="40"/>
      <c r="G5" s="40"/>
      <c r="H5" s="104"/>
      <c r="I5" s="104"/>
      <c r="J5" s="104"/>
      <c r="L5" s="106"/>
      <c r="N5" s="28"/>
    </row>
    <row r="6" spans="1:14" ht="12.75" customHeight="1">
      <c r="A6" s="31" t="s">
        <v>160</v>
      </c>
      <c r="B6" s="31" t="s">
        <v>162</v>
      </c>
      <c r="C6" s="45">
        <f>G22</f>
        <v>0</v>
      </c>
      <c r="D6" s="40" t="s">
        <v>163</v>
      </c>
      <c r="E6" s="40"/>
      <c r="F6" s="560">
        <f>'SP11-1'!C8</f>
        <v>0</v>
      </c>
      <c r="G6" s="560"/>
      <c r="H6" s="560"/>
      <c r="I6" s="104"/>
      <c r="J6" s="104"/>
      <c r="L6" s="32"/>
      <c r="N6" s="28"/>
    </row>
    <row r="7" spans="1:14" ht="12.75" customHeight="1">
      <c r="A7" s="31" t="s">
        <v>164</v>
      </c>
      <c r="B7" s="31" t="s">
        <v>161</v>
      </c>
      <c r="C7" s="45">
        <f>F23</f>
        <v>0</v>
      </c>
      <c r="D7" s="40" t="s">
        <v>165</v>
      </c>
      <c r="E7" s="40"/>
      <c r="F7" s="560">
        <f>'SP11-1'!C9</f>
        <v>0</v>
      </c>
      <c r="G7" s="560"/>
      <c r="H7" s="560"/>
      <c r="I7" s="104"/>
      <c r="J7" s="104"/>
      <c r="L7" s="32"/>
      <c r="N7" s="28"/>
    </row>
    <row r="8" spans="1:14" ht="13.8">
      <c r="A8" s="31" t="s">
        <v>164</v>
      </c>
      <c r="B8" s="31" t="s">
        <v>162</v>
      </c>
      <c r="C8" s="45">
        <f>G23</f>
        <v>0</v>
      </c>
      <c r="D8" s="40" t="s">
        <v>166</v>
      </c>
      <c r="E8" s="107" t="s">
        <v>167</v>
      </c>
      <c r="F8" s="108">
        <f>'SP11-1'!I32</f>
        <v>0</v>
      </c>
      <c r="G8" s="40"/>
      <c r="H8" s="40"/>
      <c r="L8" s="32"/>
      <c r="N8" s="28"/>
    </row>
    <row r="9" spans="1:14" ht="13.8">
      <c r="A9" s="31" t="s">
        <v>164</v>
      </c>
      <c r="B9" s="31" t="s">
        <v>168</v>
      </c>
      <c r="C9" s="45">
        <f>H23</f>
        <v>0</v>
      </c>
      <c r="D9" s="40"/>
      <c r="E9" s="107"/>
      <c r="F9" s="40"/>
      <c r="G9" s="40"/>
      <c r="H9" s="104"/>
      <c r="I9" s="104"/>
      <c r="J9" s="104"/>
      <c r="L9" s="106"/>
      <c r="N9" s="28"/>
    </row>
    <row r="10" spans="1:14" ht="13.8">
      <c r="A10" s="31" t="s">
        <v>169</v>
      </c>
      <c r="B10" s="31" t="s">
        <v>161</v>
      </c>
      <c r="C10" s="45">
        <f>F24</f>
        <v>0</v>
      </c>
      <c r="D10" s="40" t="s">
        <v>170</v>
      </c>
      <c r="E10" s="107" t="s">
        <v>171</v>
      </c>
      <c r="F10" s="48">
        <f>'SP11-1'!I26</f>
        <v>0</v>
      </c>
      <c r="G10" s="40"/>
      <c r="H10" s="104"/>
      <c r="I10" s="104"/>
      <c r="J10" s="104"/>
      <c r="L10" s="32"/>
      <c r="N10" s="28"/>
    </row>
    <row r="11" spans="1:14" ht="13.8">
      <c r="A11" s="31" t="s">
        <v>169</v>
      </c>
      <c r="B11" s="31" t="s">
        <v>162</v>
      </c>
      <c r="C11" s="45">
        <f>G24</f>
        <v>0</v>
      </c>
      <c r="D11" s="40" t="s">
        <v>172</v>
      </c>
      <c r="E11" s="107" t="s">
        <v>173</v>
      </c>
      <c r="F11" s="48">
        <f>'SP11-1'!I27</f>
        <v>0</v>
      </c>
      <c r="G11" s="40"/>
      <c r="H11" s="104"/>
      <c r="I11" s="104"/>
      <c r="J11" s="104"/>
      <c r="L11" s="32"/>
      <c r="N11" s="28"/>
    </row>
    <row r="12" spans="1:14" ht="13.8">
      <c r="A12" s="31" t="s">
        <v>169</v>
      </c>
      <c r="B12" s="31" t="s">
        <v>168</v>
      </c>
      <c r="C12" s="45">
        <f>H24</f>
        <v>0</v>
      </c>
      <c r="D12" s="40" t="s">
        <v>174</v>
      </c>
      <c r="E12" s="107" t="s">
        <v>171</v>
      </c>
      <c r="F12" s="48">
        <f>'SP11-1'!I33</f>
        <v>0</v>
      </c>
      <c r="G12" s="40"/>
      <c r="H12" s="104"/>
      <c r="I12" s="104"/>
      <c r="J12" s="104"/>
      <c r="L12" s="32"/>
      <c r="N12" s="28"/>
    </row>
    <row r="13" spans="1:14" ht="13.8">
      <c r="A13" s="31" t="s">
        <v>175</v>
      </c>
      <c r="B13" s="31" t="s">
        <v>161</v>
      </c>
      <c r="C13" s="52">
        <f>F25</f>
        <v>0</v>
      </c>
      <c r="D13" s="40"/>
      <c r="E13" s="40"/>
      <c r="F13" s="40"/>
      <c r="G13" s="40"/>
      <c r="H13" s="109"/>
      <c r="I13" s="109"/>
      <c r="J13" s="109"/>
      <c r="L13" s="106"/>
      <c r="N13" s="28"/>
    </row>
    <row r="14" spans="1:14" ht="13.8">
      <c r="A14" s="31" t="s">
        <v>175</v>
      </c>
      <c r="B14" s="31" t="s">
        <v>162</v>
      </c>
      <c r="C14" s="36">
        <f>G25</f>
        <v>0</v>
      </c>
      <c r="D14" s="40" t="s">
        <v>176</v>
      </c>
      <c r="E14" s="40"/>
      <c r="F14" s="560">
        <f>'SP11-1'!E19</f>
        <v>0</v>
      </c>
      <c r="G14" s="560"/>
      <c r="H14" s="560"/>
      <c r="I14" s="560"/>
      <c r="J14" s="560"/>
      <c r="L14" s="32"/>
      <c r="N14" s="28"/>
    </row>
    <row r="15" spans="1:14" ht="12.75" customHeight="1">
      <c r="A15" s="31" t="s">
        <v>175</v>
      </c>
      <c r="B15" s="31" t="s">
        <v>168</v>
      </c>
      <c r="C15" s="52">
        <f>H25</f>
        <v>0</v>
      </c>
      <c r="D15" s="40" t="s">
        <v>177</v>
      </c>
      <c r="E15" s="40"/>
      <c r="F15" s="560">
        <f>'SP11-1'!E16</f>
        <v>0</v>
      </c>
      <c r="G15" s="560"/>
      <c r="H15" s="560"/>
      <c r="I15" s="560"/>
      <c r="J15" s="560"/>
      <c r="L15" s="32"/>
      <c r="N15" s="28"/>
    </row>
    <row r="16" spans="1:14" ht="12.75" customHeight="1">
      <c r="A16" s="31" t="s">
        <v>178</v>
      </c>
      <c r="B16" s="31" t="s">
        <v>161</v>
      </c>
      <c r="C16" s="52">
        <f>F26</f>
        <v>0</v>
      </c>
      <c r="D16" s="40" t="s">
        <v>179</v>
      </c>
      <c r="E16" s="40"/>
      <c r="F16" s="560">
        <f>'SP11-1'!E22</f>
        <v>0</v>
      </c>
      <c r="G16" s="560"/>
      <c r="H16" s="560"/>
      <c r="I16" s="560"/>
      <c r="J16" s="560"/>
      <c r="L16" s="32"/>
      <c r="N16" s="28"/>
    </row>
    <row r="17" spans="1:14" ht="12.75" customHeight="1">
      <c r="A17" s="31" t="s">
        <v>178</v>
      </c>
      <c r="B17" s="31" t="s">
        <v>162</v>
      </c>
      <c r="C17" s="36">
        <f>G26</f>
        <v>0</v>
      </c>
      <c r="D17" s="40" t="s">
        <v>180</v>
      </c>
      <c r="E17" s="40"/>
      <c r="F17" s="560"/>
      <c r="G17" s="560"/>
      <c r="H17" s="560"/>
      <c r="I17" s="560"/>
      <c r="J17" s="560"/>
      <c r="L17" s="32"/>
      <c r="N17" s="28"/>
    </row>
    <row r="18" spans="1:14" ht="12.75" customHeight="1">
      <c r="A18" s="31" t="s">
        <v>181</v>
      </c>
      <c r="B18" s="31" t="s">
        <v>161</v>
      </c>
      <c r="C18" s="52">
        <f>F27</f>
        <v>0</v>
      </c>
      <c r="D18" s="40" t="s">
        <v>182</v>
      </c>
      <c r="E18" s="40"/>
      <c r="F18" s="560">
        <f>'SP11-1'!E23</f>
        <v>0</v>
      </c>
      <c r="G18" s="560"/>
      <c r="H18" s="560"/>
      <c r="I18" s="560"/>
      <c r="J18" s="560"/>
      <c r="L18" s="32"/>
      <c r="N18" s="28"/>
    </row>
    <row r="19" spans="1:14" ht="12.75" customHeight="1">
      <c r="A19" s="31" t="s">
        <v>181</v>
      </c>
      <c r="B19" s="31" t="s">
        <v>162</v>
      </c>
      <c r="C19" s="36">
        <f>G27</f>
        <v>0</v>
      </c>
      <c r="D19" s="40" t="s">
        <v>183</v>
      </c>
      <c r="E19" s="40"/>
      <c r="F19" s="560">
        <f>'SP11-1'!E15</f>
        <v>0</v>
      </c>
      <c r="G19" s="560"/>
      <c r="H19" s="560"/>
      <c r="I19" s="560"/>
      <c r="J19" s="560"/>
      <c r="L19" s="32"/>
      <c r="N19" s="28"/>
    </row>
    <row r="20" spans="1:14" ht="13.8">
      <c r="A20" s="31" t="s">
        <v>181</v>
      </c>
      <c r="B20" s="31" t="s">
        <v>168</v>
      </c>
      <c r="C20" s="36">
        <f>H27</f>
        <v>0</v>
      </c>
      <c r="D20" s="40"/>
      <c r="E20" s="40"/>
      <c r="F20" s="40"/>
      <c r="G20" s="40"/>
      <c r="H20" s="40"/>
      <c r="I20" s="40"/>
      <c r="L20" s="106"/>
      <c r="N20" s="28"/>
    </row>
    <row r="21" spans="1:14" ht="13.8">
      <c r="A21" s="31" t="s">
        <v>184</v>
      </c>
      <c r="B21" s="31" t="s">
        <v>161</v>
      </c>
      <c r="C21" s="52">
        <f>F28</f>
        <v>0</v>
      </c>
      <c r="D21" s="110" t="s">
        <v>185</v>
      </c>
      <c r="E21" s="40"/>
      <c r="F21" s="110" t="s">
        <v>186</v>
      </c>
      <c r="G21" s="110" t="s">
        <v>187</v>
      </c>
      <c r="H21" s="110" t="s">
        <v>188</v>
      </c>
      <c r="I21" s="40"/>
      <c r="L21" s="106"/>
      <c r="N21" s="28"/>
    </row>
    <row r="22" spans="1:14" ht="13.8">
      <c r="A22" s="31" t="s">
        <v>184</v>
      </c>
      <c r="B22" s="31" t="s">
        <v>162</v>
      </c>
      <c r="C22" s="36">
        <f>G28</f>
        <v>0</v>
      </c>
      <c r="D22" s="40" t="s">
        <v>189</v>
      </c>
      <c r="E22" s="107" t="s">
        <v>190</v>
      </c>
      <c r="F22" s="111">
        <f>'SP11-1'!I39</f>
        <v>0</v>
      </c>
      <c r="G22" s="112">
        <v>0</v>
      </c>
      <c r="H22" s="40"/>
      <c r="I22" s="40"/>
      <c r="L22" s="32"/>
      <c r="N22" s="28"/>
    </row>
    <row r="23" spans="1:14" ht="13.8">
      <c r="A23" s="31" t="s">
        <v>191</v>
      </c>
      <c r="B23" s="51"/>
      <c r="C23" s="50">
        <f>F29</f>
        <v>0</v>
      </c>
      <c r="D23" s="40" t="s">
        <v>192</v>
      </c>
      <c r="E23" s="107" t="s">
        <v>193</v>
      </c>
      <c r="F23" s="111">
        <f>IF(H23=0,0,'SP11-1'!I37)</f>
        <v>0</v>
      </c>
      <c r="G23" s="112">
        <f>'SP11-5'!I9</f>
        <v>0</v>
      </c>
      <c r="H23" s="111">
        <f>'SP11-5'!E12</f>
        <v>0</v>
      </c>
      <c r="I23" s="40"/>
      <c r="L23" s="32"/>
      <c r="N23" s="28"/>
    </row>
    <row r="24" spans="1:14" ht="13.8">
      <c r="A24" s="31" t="s">
        <v>194</v>
      </c>
      <c r="B24" s="31"/>
      <c r="C24" s="45">
        <f>F30</f>
        <v>0</v>
      </c>
      <c r="D24" s="40" t="s">
        <v>195</v>
      </c>
      <c r="E24" s="107" t="s">
        <v>193</v>
      </c>
      <c r="F24" s="111">
        <f>IF(H24=0,0,'SP11-1'!I37)</f>
        <v>0</v>
      </c>
      <c r="G24" s="112">
        <f>'SP11-5'!I30</f>
        <v>0</v>
      </c>
      <c r="H24" s="111">
        <f>'SP11-5'!E33</f>
        <v>0</v>
      </c>
      <c r="I24" s="40"/>
      <c r="K24" s="113"/>
      <c r="L24" s="32"/>
      <c r="N24" s="28"/>
    </row>
    <row r="25" spans="1:14" ht="13.8">
      <c r="A25" s="31" t="s">
        <v>196</v>
      </c>
      <c r="B25" s="31" t="s">
        <v>197</v>
      </c>
      <c r="C25" s="47">
        <f>F33</f>
        <v>0</v>
      </c>
      <c r="D25" s="40" t="s">
        <v>198</v>
      </c>
      <c r="E25" s="107" t="s">
        <v>193</v>
      </c>
      <c r="F25" s="111">
        <v>0</v>
      </c>
      <c r="G25" s="112">
        <v>0</v>
      </c>
      <c r="H25" s="111">
        <v>0</v>
      </c>
      <c r="I25" s="40"/>
      <c r="L25" s="32"/>
      <c r="N25" s="28"/>
    </row>
    <row r="26" spans="1:14" ht="13.8">
      <c r="A26" s="31" t="s">
        <v>196</v>
      </c>
      <c r="B26" s="31" t="s">
        <v>199</v>
      </c>
      <c r="C26" s="47">
        <f>G33</f>
        <v>0</v>
      </c>
      <c r="D26" s="40" t="s">
        <v>200</v>
      </c>
      <c r="E26" s="107" t="s">
        <v>193</v>
      </c>
      <c r="F26" s="111">
        <v>0</v>
      </c>
      <c r="G26" s="112">
        <v>0</v>
      </c>
      <c r="I26" s="40"/>
      <c r="L26" s="32"/>
      <c r="N26" s="28"/>
    </row>
    <row r="27" spans="1:14" ht="13.8">
      <c r="A27" s="31" t="s">
        <v>201</v>
      </c>
      <c r="B27" s="31" t="s">
        <v>197</v>
      </c>
      <c r="C27" s="47">
        <f>F34</f>
        <v>0</v>
      </c>
      <c r="D27" s="40" t="s">
        <v>202</v>
      </c>
      <c r="E27" s="107" t="s">
        <v>203</v>
      </c>
      <c r="F27" s="111">
        <v>0</v>
      </c>
      <c r="G27" s="112">
        <v>0</v>
      </c>
      <c r="H27" s="111">
        <v>0</v>
      </c>
      <c r="I27" s="40"/>
      <c r="L27" s="32"/>
      <c r="N27" s="28"/>
    </row>
    <row r="28" spans="1:14" ht="13.8">
      <c r="A28" s="31" t="s">
        <v>201</v>
      </c>
      <c r="B28" s="31" t="s">
        <v>199</v>
      </c>
      <c r="C28" s="47">
        <f>G34</f>
        <v>0</v>
      </c>
      <c r="D28" s="40" t="s">
        <v>204</v>
      </c>
      <c r="E28" s="107" t="s">
        <v>190</v>
      </c>
      <c r="F28" s="111">
        <v>0</v>
      </c>
      <c r="G28" s="112">
        <v>0</v>
      </c>
      <c r="H28" s="40"/>
      <c r="I28" s="40"/>
      <c r="L28" s="32"/>
      <c r="N28" s="28"/>
    </row>
    <row r="29" spans="1:14" ht="13.8">
      <c r="A29" s="31" t="s">
        <v>205</v>
      </c>
      <c r="B29" s="31" t="s">
        <v>197</v>
      </c>
      <c r="C29" s="47">
        <f>F35</f>
        <v>0</v>
      </c>
      <c r="D29" s="40" t="s">
        <v>204</v>
      </c>
      <c r="E29" s="107" t="s">
        <v>206</v>
      </c>
      <c r="F29" s="114">
        <v>0</v>
      </c>
      <c r="G29" s="40"/>
      <c r="H29" s="40"/>
      <c r="I29" s="40"/>
      <c r="L29" s="32"/>
      <c r="N29" s="28"/>
    </row>
    <row r="30" spans="1:14" ht="13.8">
      <c r="A30" s="31" t="s">
        <v>205</v>
      </c>
      <c r="B30" s="31" t="s">
        <v>199</v>
      </c>
      <c r="C30" s="47">
        <f>G35</f>
        <v>0</v>
      </c>
      <c r="D30" s="40" t="s">
        <v>207</v>
      </c>
      <c r="E30" s="40"/>
      <c r="F30" s="49">
        <f>'SP11-4'!N7</f>
        <v>0</v>
      </c>
      <c r="G30" s="40"/>
      <c r="H30" s="40"/>
      <c r="I30" s="40"/>
      <c r="L30" s="32"/>
      <c r="N30" s="28"/>
    </row>
    <row r="31" spans="1:14" ht="13.8">
      <c r="A31" s="31" t="s">
        <v>208</v>
      </c>
      <c r="B31" s="31" t="s">
        <v>197</v>
      </c>
      <c r="C31" s="36">
        <f>F36</f>
        <v>0</v>
      </c>
      <c r="D31" s="40"/>
      <c r="E31" s="40"/>
      <c r="F31" s="40"/>
      <c r="G31" s="40"/>
      <c r="H31" s="40"/>
      <c r="I31" s="40"/>
      <c r="L31" s="106"/>
      <c r="N31" s="28"/>
    </row>
    <row r="32" spans="1:14" ht="13.8">
      <c r="A32" s="31" t="s">
        <v>208</v>
      </c>
      <c r="B32" s="31" t="s">
        <v>199</v>
      </c>
      <c r="C32" s="36">
        <f>G36</f>
        <v>0</v>
      </c>
      <c r="D32" s="40"/>
      <c r="E32" s="40"/>
      <c r="F32" s="110" t="s">
        <v>209</v>
      </c>
      <c r="G32" s="110" t="s">
        <v>210</v>
      </c>
      <c r="H32" s="40"/>
      <c r="I32" s="40"/>
      <c r="L32" s="106"/>
      <c r="N32" s="28"/>
    </row>
    <row r="33" spans="1:14" ht="13.8">
      <c r="A33" s="31" t="s">
        <v>211</v>
      </c>
      <c r="B33" s="31" t="s">
        <v>197</v>
      </c>
      <c r="C33" s="36">
        <f>F37</f>
        <v>0</v>
      </c>
      <c r="D33" s="40" t="s">
        <v>212</v>
      </c>
      <c r="E33" s="107" t="s">
        <v>213</v>
      </c>
      <c r="F33" s="48">
        <v>0</v>
      </c>
      <c r="G33" s="48">
        <v>0</v>
      </c>
      <c r="H33" s="40"/>
      <c r="I33" s="40"/>
      <c r="L33" s="32"/>
      <c r="N33" s="28"/>
    </row>
    <row r="34" spans="1:14" ht="13.8">
      <c r="A34" s="31" t="s">
        <v>211</v>
      </c>
      <c r="B34" s="31" t="s">
        <v>199</v>
      </c>
      <c r="C34" s="36">
        <f>G37</f>
        <v>0</v>
      </c>
      <c r="D34" s="40" t="s">
        <v>214</v>
      </c>
      <c r="E34" s="107" t="s">
        <v>215</v>
      </c>
      <c r="F34" s="48">
        <f>'SP11-6'!E10</f>
        <v>0</v>
      </c>
      <c r="G34" s="48">
        <v>0</v>
      </c>
      <c r="H34" s="40"/>
      <c r="I34" s="40"/>
      <c r="L34" s="32"/>
      <c r="N34" s="28"/>
    </row>
    <row r="35" spans="1:14" ht="13.8">
      <c r="A35" s="31" t="s">
        <v>216</v>
      </c>
      <c r="B35" s="31" t="s">
        <v>197</v>
      </c>
      <c r="C35" s="47">
        <f>F38</f>
        <v>0</v>
      </c>
      <c r="D35" s="40" t="s">
        <v>217</v>
      </c>
      <c r="E35" s="107" t="s">
        <v>215</v>
      </c>
      <c r="F35" s="48">
        <f>'SP11-6'!E9</f>
        <v>0</v>
      </c>
      <c r="G35" s="48">
        <f>'SP11-6'!E11</f>
        <v>0</v>
      </c>
      <c r="H35" s="40"/>
      <c r="I35" s="40"/>
      <c r="L35" s="32"/>
      <c r="N35" s="28"/>
    </row>
    <row r="36" spans="1:14" ht="13.8">
      <c r="A36" s="31" t="s">
        <v>216</v>
      </c>
      <c r="B36" s="31" t="s">
        <v>199</v>
      </c>
      <c r="C36" s="47">
        <f>G38</f>
        <v>0</v>
      </c>
      <c r="D36" s="40" t="s">
        <v>218</v>
      </c>
      <c r="E36" s="107" t="s">
        <v>219</v>
      </c>
      <c r="F36" s="34">
        <f>'SP11-1'!I45</f>
        <v>0</v>
      </c>
      <c r="G36" s="34">
        <f>'SP11-1'!I44</f>
        <v>0</v>
      </c>
      <c r="H36" s="40"/>
      <c r="I36" s="40"/>
      <c r="L36" s="32"/>
      <c r="N36" s="28"/>
    </row>
    <row r="37" spans="1:14" ht="13.8">
      <c r="A37" s="31" t="s">
        <v>220</v>
      </c>
      <c r="B37" s="31" t="s">
        <v>221</v>
      </c>
      <c r="C37" s="46">
        <f>F41</f>
        <v>0</v>
      </c>
      <c r="D37" s="40" t="s">
        <v>222</v>
      </c>
      <c r="E37" s="107" t="s">
        <v>223</v>
      </c>
      <c r="F37" s="34">
        <v>0</v>
      </c>
      <c r="G37" s="34">
        <v>0</v>
      </c>
      <c r="H37" s="40"/>
      <c r="I37" s="40"/>
      <c r="L37" s="32"/>
      <c r="N37" s="28"/>
    </row>
    <row r="38" spans="1:14" ht="13.8">
      <c r="A38" s="31" t="s">
        <v>220</v>
      </c>
      <c r="B38" s="31" t="s">
        <v>224</v>
      </c>
      <c r="C38" s="46">
        <f>G41</f>
        <v>0</v>
      </c>
      <c r="D38" s="40" t="s">
        <v>225</v>
      </c>
      <c r="E38" s="107" t="s">
        <v>226</v>
      </c>
      <c r="F38" s="48">
        <v>0</v>
      </c>
      <c r="G38" s="48">
        <v>0</v>
      </c>
      <c r="H38" s="40"/>
      <c r="I38" s="40"/>
      <c r="L38" s="32"/>
      <c r="N38" s="28"/>
    </row>
    <row r="39" spans="1:14" ht="13.8">
      <c r="A39" s="31" t="s">
        <v>227</v>
      </c>
      <c r="B39" s="31" t="s">
        <v>221</v>
      </c>
      <c r="C39" s="46">
        <f>H41</f>
        <v>0</v>
      </c>
      <c r="D39" s="40"/>
      <c r="E39" s="40"/>
      <c r="F39" s="40"/>
      <c r="G39" s="40"/>
      <c r="H39" s="40"/>
      <c r="I39" s="40"/>
      <c r="L39" s="106"/>
      <c r="N39" s="28"/>
    </row>
    <row r="40" spans="1:14" ht="13.8">
      <c r="A40" s="31" t="s">
        <v>227</v>
      </c>
      <c r="B40" s="31" t="s">
        <v>224</v>
      </c>
      <c r="C40" s="46">
        <f>I41</f>
        <v>0</v>
      </c>
      <c r="D40" s="40"/>
      <c r="E40" s="40"/>
      <c r="F40" s="110" t="s">
        <v>228</v>
      </c>
      <c r="G40" s="110" t="s">
        <v>229</v>
      </c>
      <c r="H40" s="110" t="s">
        <v>230</v>
      </c>
      <c r="I40" s="110" t="s">
        <v>231</v>
      </c>
      <c r="L40" s="106"/>
      <c r="N40" s="28"/>
    </row>
    <row r="41" spans="1:14" ht="13.8">
      <c r="A41" s="31" t="s">
        <v>232</v>
      </c>
      <c r="B41" s="31"/>
      <c r="C41" s="45">
        <f>F42</f>
        <v>0</v>
      </c>
      <c r="D41" s="40" t="s">
        <v>233</v>
      </c>
      <c r="E41" s="40"/>
      <c r="F41" s="44"/>
      <c r="G41" s="44"/>
      <c r="H41" s="44"/>
      <c r="I41" s="44"/>
      <c r="L41" s="106"/>
      <c r="N41" s="28"/>
    </row>
    <row r="42" spans="1:14" ht="13.8">
      <c r="A42" s="31" t="s">
        <v>234</v>
      </c>
      <c r="B42" s="31" t="s">
        <v>235</v>
      </c>
      <c r="C42" s="41">
        <f>F47</f>
        <v>0</v>
      </c>
      <c r="D42" s="40" t="s">
        <v>236</v>
      </c>
      <c r="E42" s="107" t="s">
        <v>237</v>
      </c>
      <c r="F42" s="43">
        <v>0</v>
      </c>
      <c r="G42" s="40"/>
      <c r="H42" s="40"/>
      <c r="I42" s="40"/>
      <c r="L42" s="32"/>
      <c r="N42" s="28"/>
    </row>
    <row r="43" spans="1:14" ht="13.8">
      <c r="A43" s="31" t="s">
        <v>234</v>
      </c>
      <c r="B43" s="31" t="s">
        <v>238</v>
      </c>
      <c r="C43" s="41">
        <f>G47</f>
        <v>0</v>
      </c>
      <c r="D43" s="40"/>
      <c r="E43" s="107"/>
      <c r="F43" s="40"/>
      <c r="G43" s="40"/>
      <c r="H43" s="40"/>
      <c r="I43" s="40"/>
      <c r="L43" s="106"/>
      <c r="N43" s="28"/>
    </row>
    <row r="44" spans="1:14" ht="13.8">
      <c r="A44" s="31" t="s">
        <v>234</v>
      </c>
      <c r="B44" s="31" t="s">
        <v>239</v>
      </c>
      <c r="C44" s="41">
        <f>H47</f>
        <v>0</v>
      </c>
      <c r="D44" s="40" t="s">
        <v>240</v>
      </c>
      <c r="E44" s="107" t="s">
        <v>241</v>
      </c>
      <c r="F44" s="43"/>
      <c r="G44" s="43"/>
      <c r="H44" s="40"/>
      <c r="I44" s="40"/>
      <c r="L44" s="32"/>
      <c r="N44" s="28"/>
    </row>
    <row r="45" spans="1:14" ht="13.8">
      <c r="A45" s="31" t="s">
        <v>234</v>
      </c>
      <c r="B45" s="31" t="s">
        <v>242</v>
      </c>
      <c r="C45" s="41">
        <f>I47</f>
        <v>0</v>
      </c>
      <c r="D45" s="40"/>
      <c r="E45" s="40"/>
      <c r="F45" s="40"/>
      <c r="G45" s="40"/>
      <c r="H45" s="40"/>
      <c r="I45" s="40"/>
      <c r="L45" s="106"/>
      <c r="N45" s="28"/>
    </row>
    <row r="46" spans="1:14" ht="13.8">
      <c r="A46" s="31" t="s">
        <v>243</v>
      </c>
      <c r="B46" s="31" t="s">
        <v>235</v>
      </c>
      <c r="C46" s="41" t="str">
        <f>F48</f>
        <v/>
      </c>
      <c r="D46" s="40"/>
      <c r="E46" s="40"/>
      <c r="F46" s="110" t="s">
        <v>244</v>
      </c>
      <c r="G46" s="110" t="s">
        <v>245</v>
      </c>
      <c r="H46" s="110" t="s">
        <v>246</v>
      </c>
      <c r="I46" s="110" t="s">
        <v>247</v>
      </c>
      <c r="L46" s="106"/>
      <c r="N46" s="28"/>
    </row>
    <row r="47" spans="1:14" ht="13.8">
      <c r="A47" s="31" t="s">
        <v>243</v>
      </c>
      <c r="B47" s="31" t="s">
        <v>238</v>
      </c>
      <c r="C47" s="41" t="str">
        <f>G48</f>
        <v/>
      </c>
      <c r="D47" s="40" t="s">
        <v>248</v>
      </c>
      <c r="E47" s="40"/>
      <c r="F47" s="42">
        <f>'SP11-6'!J16</f>
        <v>0</v>
      </c>
      <c r="G47" s="42">
        <f>'SP11-6'!L16</f>
        <v>0</v>
      </c>
      <c r="H47" s="42">
        <f>'SP11-6'!N16</f>
        <v>0</v>
      </c>
      <c r="I47" s="42">
        <f>'SP11-6'!P16</f>
        <v>0</v>
      </c>
      <c r="L47" s="32"/>
      <c r="N47" s="28"/>
    </row>
    <row r="48" spans="1:14" ht="13.8">
      <c r="A48" s="31" t="s">
        <v>243</v>
      </c>
      <c r="B48" s="31" t="s">
        <v>239</v>
      </c>
      <c r="C48" s="41" t="str">
        <f>H48</f>
        <v/>
      </c>
      <c r="D48" s="40" t="s">
        <v>249</v>
      </c>
      <c r="E48" s="40"/>
      <c r="F48" s="42" t="str">
        <f>'SP11-6'!J23</f>
        <v/>
      </c>
      <c r="G48" s="42" t="str">
        <f>'SP11-6'!L23</f>
        <v/>
      </c>
      <c r="H48" s="42" t="str">
        <f>'SP11-6'!N23</f>
        <v/>
      </c>
      <c r="I48" s="42" t="str">
        <f>'SP11-6'!P23</f>
        <v/>
      </c>
      <c r="L48" s="32"/>
      <c r="N48" s="28"/>
    </row>
    <row r="49" spans="1:14" ht="13.8">
      <c r="A49" s="31" t="s">
        <v>243</v>
      </c>
      <c r="B49" s="31" t="s">
        <v>242</v>
      </c>
      <c r="C49" s="41" t="str">
        <f>I48</f>
        <v/>
      </c>
      <c r="D49" s="40" t="s">
        <v>250</v>
      </c>
      <c r="E49" s="40"/>
      <c r="F49" s="42" t="str">
        <f>'SP11-6'!J33</f>
        <v/>
      </c>
      <c r="G49" s="42" t="str">
        <f>'SP11-6'!L33</f>
        <v/>
      </c>
      <c r="H49" s="42" t="str">
        <f>'SP11-6'!N33</f>
        <v/>
      </c>
      <c r="I49" s="42" t="str">
        <f>'SP11-6'!P33</f>
        <v/>
      </c>
      <c r="L49" s="32"/>
      <c r="N49" s="28"/>
    </row>
    <row r="50" spans="1:14" ht="13.8">
      <c r="A50" s="31" t="s">
        <v>251</v>
      </c>
      <c r="B50" s="31" t="s">
        <v>235</v>
      </c>
      <c r="C50" s="41" t="str">
        <f>F49</f>
        <v/>
      </c>
      <c r="D50" s="40"/>
      <c r="E50" s="40"/>
      <c r="F50" s="40"/>
      <c r="G50" s="40"/>
      <c r="H50" s="40"/>
      <c r="I50" s="40"/>
      <c r="L50" s="106"/>
      <c r="N50" s="28"/>
    </row>
    <row r="51" spans="1:14" ht="13.8">
      <c r="A51" s="31" t="s">
        <v>251</v>
      </c>
      <c r="B51" s="31" t="s">
        <v>238</v>
      </c>
      <c r="C51" s="41" t="str">
        <f>G49</f>
        <v/>
      </c>
      <c r="D51" s="40" t="s">
        <v>252</v>
      </c>
      <c r="E51" s="107" t="s">
        <v>253</v>
      </c>
      <c r="F51" s="37">
        <v>0</v>
      </c>
      <c r="G51" s="40"/>
      <c r="H51" s="33" t="s">
        <v>254</v>
      </c>
      <c r="I51" s="43" t="e">
        <f>'SP11-1'!E77</f>
        <v>#VALUE!</v>
      </c>
      <c r="L51" s="32"/>
      <c r="N51" s="28"/>
    </row>
    <row r="52" spans="1:14" ht="13.8">
      <c r="A52" s="31" t="s">
        <v>251</v>
      </c>
      <c r="B52" s="31" t="s">
        <v>239</v>
      </c>
      <c r="C52" s="41" t="str">
        <f>H49</f>
        <v/>
      </c>
      <c r="D52" s="40" t="s">
        <v>255</v>
      </c>
      <c r="E52" s="107" t="s">
        <v>256</v>
      </c>
      <c r="F52" s="37">
        <v>0</v>
      </c>
      <c r="G52" s="40"/>
      <c r="H52" s="33" t="s">
        <v>257</v>
      </c>
      <c r="I52" s="115">
        <v>0</v>
      </c>
      <c r="L52" s="32"/>
      <c r="N52" s="28"/>
    </row>
    <row r="53" spans="1:14" ht="13.8">
      <c r="A53" s="31" t="s">
        <v>251</v>
      </c>
      <c r="B53" s="31" t="s">
        <v>242</v>
      </c>
      <c r="C53" s="41" t="str">
        <f>I49</f>
        <v/>
      </c>
      <c r="D53" s="40" t="s">
        <v>258</v>
      </c>
      <c r="E53" s="107" t="s">
        <v>226</v>
      </c>
      <c r="F53" s="37">
        <v>0</v>
      </c>
      <c r="G53" s="40"/>
      <c r="H53" s="33" t="s">
        <v>259</v>
      </c>
      <c r="I53" s="116" t="e">
        <f>'SP11-1'!J81</f>
        <v>#DIV/0!</v>
      </c>
      <c r="L53" s="32"/>
      <c r="N53" s="28"/>
    </row>
    <row r="54" spans="1:14" ht="13.8">
      <c r="A54" s="31" t="s">
        <v>260</v>
      </c>
      <c r="B54" s="31"/>
      <c r="C54" s="30">
        <f>F51</f>
        <v>0</v>
      </c>
      <c r="D54" s="40"/>
      <c r="E54" s="107"/>
      <c r="F54" s="40"/>
      <c r="G54" s="40"/>
      <c r="H54" s="40"/>
      <c r="I54" s="40"/>
      <c r="L54" s="106"/>
      <c r="N54" s="28"/>
    </row>
    <row r="55" spans="1:14" ht="13.8">
      <c r="A55" s="31" t="s">
        <v>261</v>
      </c>
      <c r="B55" s="31"/>
      <c r="C55" s="30">
        <f>F52</f>
        <v>0</v>
      </c>
      <c r="D55" s="110" t="s">
        <v>262</v>
      </c>
      <c r="E55" s="107"/>
      <c r="F55" s="110" t="s">
        <v>263</v>
      </c>
      <c r="G55" s="110" t="s">
        <v>264</v>
      </c>
      <c r="H55" s="40"/>
      <c r="I55" s="40"/>
      <c r="L55" s="106"/>
      <c r="N55" s="28"/>
    </row>
    <row r="56" spans="1:14" ht="13.8">
      <c r="A56" s="31" t="s">
        <v>265</v>
      </c>
      <c r="B56" s="31"/>
      <c r="C56" s="30">
        <f>F53</f>
        <v>0</v>
      </c>
      <c r="D56" s="40" t="s">
        <v>266</v>
      </c>
      <c r="E56" s="107" t="s">
        <v>267</v>
      </c>
      <c r="F56" s="37">
        <v>0</v>
      </c>
      <c r="G56" s="37">
        <f>'SP11-3 (1)'!K8</f>
        <v>0</v>
      </c>
      <c r="H56" s="40"/>
      <c r="I56" s="40"/>
      <c r="L56" s="32"/>
      <c r="N56" s="28"/>
    </row>
    <row r="57" spans="1:14" ht="13.8">
      <c r="A57" s="31" t="s">
        <v>268</v>
      </c>
      <c r="B57" s="31" t="s">
        <v>269</v>
      </c>
      <c r="C57" s="30">
        <f>F56</f>
        <v>0</v>
      </c>
      <c r="D57" s="40"/>
      <c r="E57" s="40"/>
      <c r="F57" s="40"/>
      <c r="G57" s="40"/>
      <c r="H57" s="40"/>
      <c r="I57" s="40"/>
      <c r="L57" s="32"/>
      <c r="N57" s="28"/>
    </row>
    <row r="58" spans="1:14" ht="13.8">
      <c r="A58" s="31" t="s">
        <v>268</v>
      </c>
      <c r="B58" s="31" t="s">
        <v>270</v>
      </c>
      <c r="C58" s="30">
        <f>G56</f>
        <v>0</v>
      </c>
      <c r="D58" s="40" t="s">
        <v>271</v>
      </c>
      <c r="E58" s="107" t="s">
        <v>267</v>
      </c>
      <c r="F58" s="37">
        <v>0</v>
      </c>
      <c r="G58" s="37">
        <f>'SP11-3 (1)'!Q8</f>
        <v>0</v>
      </c>
      <c r="H58" s="40"/>
      <c r="I58" s="40"/>
      <c r="L58" s="32"/>
      <c r="N58" s="28"/>
    </row>
    <row r="59" spans="1:14" ht="13.8">
      <c r="A59" s="31" t="s">
        <v>272</v>
      </c>
      <c r="B59" s="31" t="s">
        <v>269</v>
      </c>
      <c r="C59" s="30">
        <f>F58</f>
        <v>0</v>
      </c>
      <c r="D59" s="40" t="s">
        <v>273</v>
      </c>
      <c r="E59" s="107" t="s">
        <v>267</v>
      </c>
      <c r="F59" s="37">
        <f>'SP11-1'!M47</f>
        <v>0</v>
      </c>
      <c r="G59" s="37">
        <f>'SP11-3 (1)'!Q11+'SP11-3 (1)'!Q14+'SP11-3 (1)'!Q29+'SP11-3 (1)'!Q32</f>
        <v>0</v>
      </c>
      <c r="H59" s="40"/>
      <c r="I59" s="40"/>
      <c r="L59" s="32"/>
      <c r="N59" s="28"/>
    </row>
    <row r="60" spans="1:14" ht="13.8">
      <c r="A60" s="31" t="s">
        <v>272</v>
      </c>
      <c r="B60" s="31" t="s">
        <v>270</v>
      </c>
      <c r="C60" s="30">
        <f>G58</f>
        <v>0</v>
      </c>
      <c r="D60" s="40" t="s">
        <v>274</v>
      </c>
      <c r="E60" s="107" t="s">
        <v>267</v>
      </c>
      <c r="F60" s="37">
        <f>'SP11-1'!M49</f>
        <v>0</v>
      </c>
      <c r="G60" s="37">
        <f>'SP11-1'!M52</f>
        <v>0</v>
      </c>
      <c r="H60" s="40"/>
      <c r="I60" s="40"/>
      <c r="L60" s="32"/>
      <c r="N60" s="28"/>
    </row>
    <row r="61" spans="1:14" ht="13.8">
      <c r="A61" s="31" t="s">
        <v>275</v>
      </c>
      <c r="B61" s="31" t="s">
        <v>269</v>
      </c>
      <c r="C61" s="30">
        <f>F59</f>
        <v>0</v>
      </c>
      <c r="D61" s="40"/>
      <c r="E61" s="107"/>
      <c r="F61" s="40"/>
      <c r="G61" s="40"/>
      <c r="H61" s="40"/>
      <c r="I61" s="40"/>
      <c r="L61" s="106"/>
      <c r="N61" s="28"/>
    </row>
    <row r="62" spans="1:14" ht="13.8">
      <c r="A62" s="31" t="s">
        <v>275</v>
      </c>
      <c r="B62" s="31" t="s">
        <v>270</v>
      </c>
      <c r="C62" s="30">
        <f>G59</f>
        <v>0</v>
      </c>
      <c r="D62" s="40" t="s">
        <v>276</v>
      </c>
      <c r="E62" s="107" t="s">
        <v>267</v>
      </c>
      <c r="F62" s="37">
        <v>0</v>
      </c>
      <c r="G62" s="40"/>
      <c r="H62" s="40"/>
      <c r="I62" s="40"/>
      <c r="L62" s="32"/>
      <c r="N62" s="28"/>
    </row>
    <row r="63" spans="1:14" ht="13.8">
      <c r="A63" s="31" t="s">
        <v>277</v>
      </c>
      <c r="B63" s="31" t="s">
        <v>269</v>
      </c>
      <c r="C63" s="30">
        <f>F60</f>
        <v>0</v>
      </c>
      <c r="D63" s="40" t="s">
        <v>278</v>
      </c>
      <c r="E63" s="107" t="s">
        <v>267</v>
      </c>
      <c r="F63" s="37">
        <v>0</v>
      </c>
      <c r="G63" s="40"/>
      <c r="H63" s="40"/>
      <c r="I63" s="40"/>
      <c r="L63" s="32"/>
      <c r="N63" s="28"/>
    </row>
    <row r="64" spans="1:14" ht="13.8">
      <c r="A64" s="31" t="s">
        <v>277</v>
      </c>
      <c r="B64" s="31" t="s">
        <v>270</v>
      </c>
      <c r="C64" s="30">
        <f>G60</f>
        <v>0</v>
      </c>
      <c r="D64" s="40"/>
      <c r="E64" s="107"/>
      <c r="F64" s="40"/>
      <c r="G64" s="40"/>
      <c r="H64" s="40"/>
      <c r="I64" s="40"/>
      <c r="L64" s="106"/>
      <c r="N64" s="28"/>
    </row>
    <row r="65" spans="1:14" ht="13.8">
      <c r="A65" s="31" t="s">
        <v>279</v>
      </c>
      <c r="B65" s="31"/>
      <c r="C65" s="30">
        <f>F62</f>
        <v>0</v>
      </c>
      <c r="D65" s="110" t="s">
        <v>280</v>
      </c>
      <c r="E65" s="107"/>
      <c r="F65" s="110" t="s">
        <v>281</v>
      </c>
      <c r="G65" s="40"/>
      <c r="H65" s="38" t="s">
        <v>282</v>
      </c>
      <c r="I65" s="40"/>
      <c r="L65" s="106"/>
      <c r="N65" s="28"/>
    </row>
    <row r="66" spans="1:14" ht="13.8">
      <c r="A66" s="31" t="s">
        <v>283</v>
      </c>
      <c r="B66" s="31"/>
      <c r="C66" s="30">
        <f>F63</f>
        <v>0</v>
      </c>
      <c r="D66" s="40" t="s">
        <v>284</v>
      </c>
      <c r="E66" s="107" t="s">
        <v>267</v>
      </c>
      <c r="F66" s="37">
        <f>'SP11-1'!M56</f>
        <v>0</v>
      </c>
      <c r="G66" s="107" t="s">
        <v>267</v>
      </c>
      <c r="H66" s="116">
        <f>'SP11-1'!N74</f>
        <v>0</v>
      </c>
      <c r="I66" s="40"/>
      <c r="L66" s="32"/>
      <c r="N66" s="28"/>
    </row>
    <row r="67" spans="1:14" ht="13.8">
      <c r="A67" s="31" t="s">
        <v>285</v>
      </c>
      <c r="B67" s="31" t="s">
        <v>286</v>
      </c>
      <c r="C67" s="30">
        <f>F66</f>
        <v>0</v>
      </c>
      <c r="D67" s="40" t="s">
        <v>287</v>
      </c>
      <c r="E67" s="107" t="s">
        <v>267</v>
      </c>
      <c r="F67" s="37">
        <v>0</v>
      </c>
      <c r="G67" s="107" t="s">
        <v>267</v>
      </c>
      <c r="H67" s="49">
        <v>0</v>
      </c>
      <c r="I67" s="40"/>
      <c r="L67" s="32"/>
      <c r="N67" s="28"/>
    </row>
    <row r="68" spans="1:14" ht="13.8">
      <c r="A68" s="31" t="s">
        <v>288</v>
      </c>
      <c r="B68" s="31" t="s">
        <v>286</v>
      </c>
      <c r="C68" s="30">
        <f t="shared" ref="C68:C85" si="0">F67</f>
        <v>0</v>
      </c>
      <c r="D68" s="40" t="s">
        <v>289</v>
      </c>
      <c r="E68" s="107" t="s">
        <v>267</v>
      </c>
      <c r="F68" s="37">
        <f>'SP11-1'!M58</f>
        <v>0</v>
      </c>
      <c r="G68" s="107" t="s">
        <v>267</v>
      </c>
      <c r="H68" s="116">
        <f>'SP11-1'!D77</f>
        <v>0</v>
      </c>
      <c r="I68" s="40"/>
      <c r="L68" s="32"/>
      <c r="N68" s="28"/>
    </row>
    <row r="69" spans="1:14" ht="13.8">
      <c r="A69" s="31" t="s">
        <v>290</v>
      </c>
      <c r="B69" s="31" t="s">
        <v>286</v>
      </c>
      <c r="C69" s="30">
        <f t="shared" si="0"/>
        <v>0</v>
      </c>
      <c r="D69" s="40" t="s">
        <v>291</v>
      </c>
      <c r="E69" s="107" t="s">
        <v>267</v>
      </c>
      <c r="F69" s="37">
        <v>0</v>
      </c>
      <c r="G69" s="107" t="s">
        <v>267</v>
      </c>
      <c r="H69" s="49">
        <v>0</v>
      </c>
      <c r="I69" s="40"/>
      <c r="L69" s="32"/>
      <c r="N69" s="28"/>
    </row>
    <row r="70" spans="1:14" ht="13.8">
      <c r="A70" s="31" t="s">
        <v>292</v>
      </c>
      <c r="B70" s="31" t="s">
        <v>286</v>
      </c>
      <c r="C70" s="30">
        <f t="shared" si="0"/>
        <v>0</v>
      </c>
      <c r="D70" s="40" t="s">
        <v>293</v>
      </c>
      <c r="E70" s="107" t="s">
        <v>267</v>
      </c>
      <c r="F70" s="37">
        <v>0</v>
      </c>
      <c r="G70" s="107" t="s">
        <v>267</v>
      </c>
      <c r="H70" s="49">
        <v>0</v>
      </c>
      <c r="I70" s="40"/>
      <c r="L70" s="32"/>
      <c r="N70" s="28"/>
    </row>
    <row r="71" spans="1:14" ht="13.8">
      <c r="A71" s="31" t="s">
        <v>294</v>
      </c>
      <c r="B71" s="31" t="s">
        <v>286</v>
      </c>
      <c r="C71" s="30">
        <f t="shared" si="0"/>
        <v>0</v>
      </c>
      <c r="D71" s="40" t="s">
        <v>295</v>
      </c>
      <c r="E71" s="107" t="s">
        <v>267</v>
      </c>
      <c r="F71" s="37">
        <v>0</v>
      </c>
      <c r="G71" s="107" t="s">
        <v>267</v>
      </c>
      <c r="H71" s="49">
        <v>0</v>
      </c>
      <c r="I71" s="40"/>
      <c r="L71" s="32"/>
      <c r="N71" s="28"/>
    </row>
    <row r="72" spans="1:14" ht="13.8">
      <c r="A72" s="31" t="s">
        <v>296</v>
      </c>
      <c r="B72" s="31" t="s">
        <v>286</v>
      </c>
      <c r="C72" s="30">
        <f t="shared" si="0"/>
        <v>0</v>
      </c>
      <c r="D72" s="40" t="s">
        <v>297</v>
      </c>
      <c r="E72" s="107" t="s">
        <v>267</v>
      </c>
      <c r="F72" s="37">
        <v>0</v>
      </c>
      <c r="G72" s="107" t="s">
        <v>267</v>
      </c>
      <c r="H72" s="49">
        <v>0</v>
      </c>
      <c r="I72" s="40"/>
      <c r="L72" s="32"/>
      <c r="N72" s="28"/>
    </row>
    <row r="73" spans="1:14" ht="13.8">
      <c r="A73" s="31" t="s">
        <v>298</v>
      </c>
      <c r="B73" s="31" t="s">
        <v>286</v>
      </c>
      <c r="C73" s="30">
        <f t="shared" si="0"/>
        <v>0</v>
      </c>
      <c r="D73" s="40" t="s">
        <v>299</v>
      </c>
      <c r="E73" s="107" t="s">
        <v>267</v>
      </c>
      <c r="F73" s="37">
        <v>0</v>
      </c>
      <c r="G73" s="107" t="s">
        <v>267</v>
      </c>
      <c r="H73" s="49">
        <v>0</v>
      </c>
      <c r="I73" s="40"/>
      <c r="L73" s="32"/>
      <c r="N73" s="28"/>
    </row>
    <row r="74" spans="1:14" ht="13.8">
      <c r="A74" s="31" t="s">
        <v>300</v>
      </c>
      <c r="B74" s="31" t="s">
        <v>286</v>
      </c>
      <c r="C74" s="30">
        <f t="shared" si="0"/>
        <v>0</v>
      </c>
      <c r="D74" s="40" t="s">
        <v>301</v>
      </c>
      <c r="E74" s="107" t="s">
        <v>267</v>
      </c>
      <c r="F74" s="37">
        <v>0</v>
      </c>
      <c r="G74" s="107" t="s">
        <v>267</v>
      </c>
      <c r="H74" s="49">
        <v>0</v>
      </c>
      <c r="I74" s="40"/>
      <c r="L74" s="32"/>
      <c r="N74" s="28"/>
    </row>
    <row r="75" spans="1:14" ht="13.8">
      <c r="A75" s="31" t="s">
        <v>302</v>
      </c>
      <c r="B75" s="31" t="s">
        <v>286</v>
      </c>
      <c r="C75" s="30">
        <f t="shared" si="0"/>
        <v>0</v>
      </c>
      <c r="D75" s="40" t="s">
        <v>303</v>
      </c>
      <c r="E75" s="107" t="s">
        <v>267</v>
      </c>
      <c r="F75" s="37">
        <f>'SP11-1'!M57</f>
        <v>0</v>
      </c>
      <c r="G75" s="107" t="s">
        <v>267</v>
      </c>
      <c r="H75" s="116">
        <f>'SP11-1'!L78</f>
        <v>0</v>
      </c>
      <c r="I75" s="40"/>
      <c r="L75" s="32"/>
      <c r="N75" s="28"/>
    </row>
    <row r="76" spans="1:14" ht="13.8">
      <c r="A76" s="31" t="s">
        <v>304</v>
      </c>
      <c r="B76" s="31" t="s">
        <v>286</v>
      </c>
      <c r="C76" s="30">
        <f t="shared" si="0"/>
        <v>0</v>
      </c>
      <c r="D76" s="40" t="s">
        <v>305</v>
      </c>
      <c r="E76" s="107" t="s">
        <v>267</v>
      </c>
      <c r="F76" s="37">
        <v>0</v>
      </c>
      <c r="G76" s="107" t="s">
        <v>267</v>
      </c>
      <c r="H76" s="49">
        <v>0</v>
      </c>
      <c r="I76" s="40"/>
      <c r="L76" s="32"/>
      <c r="N76" s="28"/>
    </row>
    <row r="77" spans="1:14" ht="13.8">
      <c r="A77" s="31" t="s">
        <v>306</v>
      </c>
      <c r="B77" s="31" t="s">
        <v>286</v>
      </c>
      <c r="C77" s="30">
        <f t="shared" si="0"/>
        <v>0</v>
      </c>
      <c r="D77" s="40" t="s">
        <v>307</v>
      </c>
      <c r="E77" s="107" t="s">
        <v>267</v>
      </c>
      <c r="F77" s="37">
        <v>0</v>
      </c>
      <c r="G77" s="107" t="s">
        <v>267</v>
      </c>
      <c r="H77" s="49">
        <v>0</v>
      </c>
      <c r="I77" s="40"/>
      <c r="L77" s="32"/>
      <c r="N77" s="28"/>
    </row>
    <row r="78" spans="1:14" ht="13.8">
      <c r="A78" s="31" t="s">
        <v>308</v>
      </c>
      <c r="B78" s="31" t="s">
        <v>286</v>
      </c>
      <c r="C78" s="30">
        <f t="shared" si="0"/>
        <v>0</v>
      </c>
      <c r="D78" s="40" t="s">
        <v>309</v>
      </c>
      <c r="E78" s="107" t="s">
        <v>267</v>
      </c>
      <c r="F78" s="37">
        <v>0</v>
      </c>
      <c r="G78" s="107" t="s">
        <v>267</v>
      </c>
      <c r="H78" s="49">
        <v>0</v>
      </c>
      <c r="I78" s="40"/>
      <c r="L78" s="32"/>
      <c r="N78" s="28"/>
    </row>
    <row r="79" spans="1:14" ht="13.8">
      <c r="A79" s="31" t="s">
        <v>310</v>
      </c>
      <c r="B79" s="31" t="s">
        <v>286</v>
      </c>
      <c r="C79" s="30">
        <f t="shared" si="0"/>
        <v>0</v>
      </c>
      <c r="D79" s="40" t="s">
        <v>311</v>
      </c>
      <c r="E79" s="107" t="s">
        <v>267</v>
      </c>
      <c r="F79" s="37">
        <v>0</v>
      </c>
      <c r="G79" s="107" t="s">
        <v>267</v>
      </c>
      <c r="H79" s="49">
        <v>0</v>
      </c>
      <c r="I79" s="40"/>
      <c r="L79" s="32"/>
      <c r="N79" s="28"/>
    </row>
    <row r="80" spans="1:14" ht="13.8">
      <c r="A80" s="31" t="s">
        <v>312</v>
      </c>
      <c r="B80" s="31" t="s">
        <v>286</v>
      </c>
      <c r="C80" s="30">
        <f t="shared" si="0"/>
        <v>0</v>
      </c>
      <c r="D80" s="40" t="s">
        <v>313</v>
      </c>
      <c r="E80" s="107" t="s">
        <v>267</v>
      </c>
      <c r="F80" s="37">
        <v>0</v>
      </c>
      <c r="G80" s="107" t="s">
        <v>267</v>
      </c>
      <c r="H80" s="49">
        <v>0</v>
      </c>
      <c r="I80" s="40"/>
      <c r="L80" s="32"/>
      <c r="N80" s="28"/>
    </row>
    <row r="81" spans="1:14" ht="13.8">
      <c r="A81" s="31" t="s">
        <v>314</v>
      </c>
      <c r="B81" s="31" t="s">
        <v>286</v>
      </c>
      <c r="C81" s="30">
        <f t="shared" si="0"/>
        <v>0</v>
      </c>
      <c r="D81" s="40" t="s">
        <v>315</v>
      </c>
      <c r="E81" s="107" t="s">
        <v>267</v>
      </c>
      <c r="F81" s="37">
        <v>0</v>
      </c>
      <c r="G81" s="107" t="s">
        <v>267</v>
      </c>
      <c r="H81" s="49">
        <v>0</v>
      </c>
      <c r="I81" s="40"/>
      <c r="L81" s="32"/>
      <c r="N81" s="28"/>
    </row>
    <row r="82" spans="1:14" ht="13.8">
      <c r="A82" s="31" t="s">
        <v>316</v>
      </c>
      <c r="B82" s="31" t="s">
        <v>286</v>
      </c>
      <c r="C82" s="30">
        <f t="shared" si="0"/>
        <v>0</v>
      </c>
      <c r="D82" s="40" t="s">
        <v>317</v>
      </c>
      <c r="E82" s="107" t="s">
        <v>267</v>
      </c>
      <c r="F82" s="37">
        <v>0</v>
      </c>
      <c r="G82" s="107" t="s">
        <v>267</v>
      </c>
      <c r="H82" s="49">
        <v>0</v>
      </c>
      <c r="I82" s="40"/>
      <c r="L82" s="32"/>
      <c r="N82" s="28"/>
    </row>
    <row r="83" spans="1:14" ht="13.8">
      <c r="A83" s="31" t="s">
        <v>318</v>
      </c>
      <c r="B83" s="31" t="s">
        <v>286</v>
      </c>
      <c r="C83" s="30">
        <f t="shared" si="0"/>
        <v>0</v>
      </c>
      <c r="D83" s="40" t="s">
        <v>319</v>
      </c>
      <c r="E83" s="107" t="s">
        <v>267</v>
      </c>
      <c r="F83" s="37">
        <v>0</v>
      </c>
      <c r="G83" s="107" t="s">
        <v>267</v>
      </c>
      <c r="H83" s="49">
        <v>0</v>
      </c>
      <c r="I83" s="40"/>
      <c r="L83" s="32"/>
      <c r="N83" s="28"/>
    </row>
    <row r="84" spans="1:14" ht="12.75" customHeight="1">
      <c r="A84" s="31" t="s">
        <v>320</v>
      </c>
      <c r="B84" s="31" t="s">
        <v>286</v>
      </c>
      <c r="C84" s="30">
        <f t="shared" si="0"/>
        <v>0</v>
      </c>
      <c r="D84" s="40" t="s">
        <v>321</v>
      </c>
      <c r="E84" s="107" t="s">
        <v>267</v>
      </c>
      <c r="F84" s="117">
        <f>SUM(F66:F83)</f>
        <v>0</v>
      </c>
      <c r="G84" s="107" t="s">
        <v>267</v>
      </c>
      <c r="H84" s="118">
        <f>SUM(H66:H83)</f>
        <v>0</v>
      </c>
      <c r="I84" s="40"/>
      <c r="L84" s="32"/>
      <c r="N84" s="28"/>
    </row>
    <row r="85" spans="1:14" ht="13.8">
      <c r="A85" s="31" t="s">
        <v>322</v>
      </c>
      <c r="B85" s="31" t="s">
        <v>286</v>
      </c>
      <c r="C85" s="30">
        <f t="shared" si="0"/>
        <v>0</v>
      </c>
      <c r="D85" s="119"/>
      <c r="E85" s="40"/>
      <c r="F85" s="40"/>
      <c r="G85" s="40"/>
      <c r="H85" s="40"/>
      <c r="I85" s="40"/>
      <c r="L85" s="106"/>
      <c r="N85" s="28"/>
    </row>
    <row r="86" spans="1:14" ht="13.8">
      <c r="A86" s="31" t="s">
        <v>323</v>
      </c>
      <c r="B86" s="31"/>
      <c r="C86" s="36">
        <f>F88</f>
        <v>0</v>
      </c>
      <c r="D86" s="40" t="s">
        <v>324</v>
      </c>
      <c r="E86" s="40"/>
      <c r="F86" s="561"/>
      <c r="G86" s="562"/>
      <c r="H86" s="562"/>
      <c r="I86" s="562"/>
      <c r="J86" s="563"/>
      <c r="L86" s="32"/>
      <c r="N86" s="28"/>
    </row>
    <row r="87" spans="1:14" ht="13.8">
      <c r="A87" s="31" t="s">
        <v>325</v>
      </c>
      <c r="B87" s="31"/>
      <c r="C87" s="36">
        <f>F89</f>
        <v>0</v>
      </c>
      <c r="D87" s="40"/>
      <c r="E87" s="40"/>
      <c r="F87" s="40"/>
      <c r="G87" s="40"/>
      <c r="H87" s="40"/>
      <c r="I87" s="40"/>
      <c r="L87" s="106"/>
      <c r="N87" s="28"/>
    </row>
    <row r="88" spans="1:14" ht="13.8">
      <c r="A88" s="31" t="s">
        <v>326</v>
      </c>
      <c r="B88" s="31"/>
      <c r="C88" s="36">
        <f>F90</f>
        <v>0</v>
      </c>
      <c r="D88" s="40" t="s">
        <v>327</v>
      </c>
      <c r="E88" s="40"/>
      <c r="F88" s="34">
        <f>'SP11-1'!M62</f>
        <v>0</v>
      </c>
      <c r="G88" s="40"/>
      <c r="H88" s="40"/>
      <c r="I88" s="40"/>
      <c r="L88" s="32"/>
      <c r="N88" s="28"/>
    </row>
    <row r="89" spans="1:14" ht="13.8">
      <c r="A89" s="31" t="s">
        <v>328</v>
      </c>
      <c r="B89" s="31" t="s">
        <v>329</v>
      </c>
      <c r="C89" s="36">
        <f>F92</f>
        <v>0</v>
      </c>
      <c r="D89" s="40" t="s">
        <v>330</v>
      </c>
      <c r="E89" s="40"/>
      <c r="F89" s="34">
        <v>0</v>
      </c>
      <c r="G89" s="40"/>
      <c r="H89" s="40"/>
      <c r="I89" s="40"/>
      <c r="L89" s="32"/>
      <c r="N89" s="28"/>
    </row>
    <row r="90" spans="1:14" ht="13.8">
      <c r="A90" s="31" t="s">
        <v>328</v>
      </c>
      <c r="B90" s="31" t="s">
        <v>331</v>
      </c>
      <c r="C90" s="36">
        <f>G92</f>
        <v>0</v>
      </c>
      <c r="D90" s="40" t="s">
        <v>332</v>
      </c>
      <c r="E90" s="40"/>
      <c r="F90" s="34">
        <f>'SP11-1'!M67</f>
        <v>0</v>
      </c>
      <c r="G90" s="40"/>
      <c r="H90" s="40"/>
      <c r="I90" s="40"/>
      <c r="L90" s="32"/>
      <c r="N90" s="28"/>
    </row>
    <row r="91" spans="1:14" ht="26.4">
      <c r="A91" s="35" t="s">
        <v>333</v>
      </c>
      <c r="B91" s="31"/>
      <c r="C91" s="30" t="e">
        <f>I51</f>
        <v>#VALUE!</v>
      </c>
      <c r="D91" s="40"/>
      <c r="E91" s="40"/>
      <c r="F91" s="40"/>
      <c r="G91" s="40"/>
      <c r="H91" s="40"/>
      <c r="I91" s="40"/>
      <c r="L91" s="106"/>
      <c r="N91" s="28"/>
    </row>
    <row r="92" spans="1:14" ht="13.8">
      <c r="A92" s="31" t="s">
        <v>334</v>
      </c>
      <c r="B92" s="31"/>
      <c r="C92" s="30">
        <f>I52</f>
        <v>0</v>
      </c>
      <c r="D92" s="40" t="s">
        <v>335</v>
      </c>
      <c r="E92" s="40"/>
      <c r="F92" s="34">
        <v>0</v>
      </c>
      <c r="G92" s="34">
        <v>0</v>
      </c>
      <c r="H92" s="40"/>
      <c r="I92" s="40"/>
      <c r="L92" s="32"/>
      <c r="N92" s="28"/>
    </row>
    <row r="93" spans="1:14">
      <c r="A93" s="31" t="s">
        <v>336</v>
      </c>
      <c r="B93" s="31"/>
      <c r="C93" s="30" t="e">
        <f>I53</f>
        <v>#DIV/0!</v>
      </c>
      <c r="N93" s="28"/>
    </row>
    <row r="94" spans="1:14">
      <c r="A94" s="31" t="s">
        <v>285</v>
      </c>
      <c r="B94" s="31" t="s">
        <v>337</v>
      </c>
      <c r="C94" s="30">
        <f>H66</f>
        <v>0</v>
      </c>
      <c r="N94" s="28"/>
    </row>
    <row r="95" spans="1:14">
      <c r="A95" s="31" t="s">
        <v>288</v>
      </c>
      <c r="B95" s="31" t="s">
        <v>337</v>
      </c>
      <c r="C95" s="30">
        <f t="shared" ref="C95:C112" si="1">H67</f>
        <v>0</v>
      </c>
      <c r="N95" s="28"/>
    </row>
    <row r="96" spans="1:14">
      <c r="A96" s="31" t="s">
        <v>290</v>
      </c>
      <c r="B96" s="31" t="s">
        <v>337</v>
      </c>
      <c r="C96" s="30">
        <f t="shared" si="1"/>
        <v>0</v>
      </c>
      <c r="N96" s="28"/>
    </row>
    <row r="97" spans="1:14" ht="14.4" hidden="1">
      <c r="A97" s="31" t="s">
        <v>292</v>
      </c>
      <c r="B97" s="31" t="s">
        <v>337</v>
      </c>
      <c r="C97" s="30">
        <f t="shared" si="1"/>
        <v>0</v>
      </c>
      <c r="D97" s="99" t="s">
        <v>338</v>
      </c>
      <c r="N97" s="28"/>
    </row>
    <row r="98" spans="1:14" hidden="1">
      <c r="A98" s="31" t="s">
        <v>294</v>
      </c>
      <c r="B98" s="31" t="s">
        <v>337</v>
      </c>
      <c r="C98" s="30">
        <f t="shared" si="1"/>
        <v>0</v>
      </c>
      <c r="D98" s="39" t="s">
        <v>339</v>
      </c>
      <c r="N98" s="28"/>
    </row>
    <row r="99" spans="1:14" hidden="1">
      <c r="A99" s="31" t="s">
        <v>296</v>
      </c>
      <c r="B99" s="31" t="s">
        <v>337</v>
      </c>
      <c r="C99" s="30">
        <f t="shared" si="1"/>
        <v>0</v>
      </c>
      <c r="D99" s="39" t="s">
        <v>340</v>
      </c>
      <c r="N99" s="28"/>
    </row>
    <row r="100" spans="1:14" hidden="1">
      <c r="A100" s="31" t="s">
        <v>298</v>
      </c>
      <c r="B100" s="31" t="s">
        <v>337</v>
      </c>
      <c r="C100" s="30">
        <f t="shared" si="1"/>
        <v>0</v>
      </c>
      <c r="D100" s="39" t="s">
        <v>341</v>
      </c>
      <c r="N100" s="28"/>
    </row>
    <row r="101" spans="1:14" hidden="1">
      <c r="A101" s="31" t="s">
        <v>300</v>
      </c>
      <c r="B101" s="31" t="s">
        <v>337</v>
      </c>
      <c r="C101" s="30">
        <f t="shared" si="1"/>
        <v>0</v>
      </c>
      <c r="D101" s="39" t="s">
        <v>342</v>
      </c>
      <c r="N101" s="28"/>
    </row>
    <row r="102" spans="1:14" hidden="1">
      <c r="A102" s="31" t="s">
        <v>302</v>
      </c>
      <c r="B102" s="31" t="s">
        <v>337</v>
      </c>
      <c r="C102" s="30">
        <f t="shared" si="1"/>
        <v>0</v>
      </c>
      <c r="D102" s="39" t="s">
        <v>343</v>
      </c>
      <c r="N102" s="28"/>
    </row>
    <row r="103" spans="1:14">
      <c r="A103" s="31" t="s">
        <v>304</v>
      </c>
      <c r="B103" s="31" t="s">
        <v>337</v>
      </c>
      <c r="C103" s="30">
        <f t="shared" si="1"/>
        <v>0</v>
      </c>
      <c r="N103" s="28"/>
    </row>
    <row r="104" spans="1:14">
      <c r="A104" s="31" t="s">
        <v>306</v>
      </c>
      <c r="B104" s="31" t="s">
        <v>337</v>
      </c>
      <c r="C104" s="30">
        <f t="shared" si="1"/>
        <v>0</v>
      </c>
      <c r="N104" s="28"/>
    </row>
    <row r="105" spans="1:14">
      <c r="A105" s="31" t="s">
        <v>308</v>
      </c>
      <c r="B105" s="31" t="s">
        <v>337</v>
      </c>
      <c r="C105" s="30">
        <f t="shared" si="1"/>
        <v>0</v>
      </c>
      <c r="N105" s="28"/>
    </row>
    <row r="106" spans="1:14">
      <c r="A106" s="31" t="s">
        <v>310</v>
      </c>
      <c r="B106" s="31" t="s">
        <v>337</v>
      </c>
      <c r="C106" s="30">
        <f t="shared" si="1"/>
        <v>0</v>
      </c>
      <c r="N106" s="28"/>
    </row>
    <row r="107" spans="1:14">
      <c r="A107" s="31" t="s">
        <v>312</v>
      </c>
      <c r="B107" s="31" t="s">
        <v>337</v>
      </c>
      <c r="C107" s="30">
        <f t="shared" si="1"/>
        <v>0</v>
      </c>
      <c r="N107" s="28"/>
    </row>
    <row r="108" spans="1:14">
      <c r="A108" s="31" t="s">
        <v>314</v>
      </c>
      <c r="B108" s="31" t="s">
        <v>337</v>
      </c>
      <c r="C108" s="30">
        <f t="shared" si="1"/>
        <v>0</v>
      </c>
      <c r="N108" s="28"/>
    </row>
    <row r="109" spans="1:14">
      <c r="A109" s="31" t="s">
        <v>316</v>
      </c>
      <c r="B109" s="31" t="s">
        <v>337</v>
      </c>
      <c r="C109" s="30">
        <f t="shared" si="1"/>
        <v>0</v>
      </c>
      <c r="N109" s="28"/>
    </row>
    <row r="110" spans="1:14">
      <c r="A110" s="31" t="s">
        <v>318</v>
      </c>
      <c r="B110" s="31" t="s">
        <v>337</v>
      </c>
      <c r="C110" s="30">
        <f t="shared" si="1"/>
        <v>0</v>
      </c>
      <c r="N110" s="28"/>
    </row>
    <row r="111" spans="1:14">
      <c r="A111" s="31" t="s">
        <v>320</v>
      </c>
      <c r="B111" s="31" t="s">
        <v>337</v>
      </c>
      <c r="C111" s="30">
        <f t="shared" si="1"/>
        <v>0</v>
      </c>
      <c r="N111" s="28"/>
    </row>
    <row r="112" spans="1:14">
      <c r="A112" s="31" t="s">
        <v>322</v>
      </c>
      <c r="B112" s="31" t="s">
        <v>337</v>
      </c>
      <c r="C112" s="30">
        <f t="shared" si="1"/>
        <v>0</v>
      </c>
      <c r="N112" s="28"/>
    </row>
    <row r="113" spans="14:14">
      <c r="N113" s="28"/>
    </row>
    <row r="114" spans="14:14">
      <c r="N114" s="28"/>
    </row>
    <row r="115" spans="14:14">
      <c r="N115" s="28"/>
    </row>
    <row r="116" spans="14:14">
      <c r="N116" s="28"/>
    </row>
    <row r="117" spans="14:14">
      <c r="N117" s="28"/>
    </row>
    <row r="118" spans="14:14">
      <c r="N118" s="28"/>
    </row>
    <row r="119" spans="14:14">
      <c r="N119" s="28"/>
    </row>
    <row r="120" spans="14:14">
      <c r="N120" s="28"/>
    </row>
    <row r="121" spans="14:14">
      <c r="N121" s="28"/>
    </row>
    <row r="122" spans="14:14">
      <c r="N122" s="28"/>
    </row>
    <row r="123" spans="14:14">
      <c r="N123" s="28"/>
    </row>
    <row r="124" spans="14:14">
      <c r="N124" s="28"/>
    </row>
    <row r="125" spans="14:14">
      <c r="N125" s="28"/>
    </row>
    <row r="126" spans="14:14">
      <c r="N126" s="28"/>
    </row>
    <row r="127" spans="14:14">
      <c r="N127" s="28"/>
    </row>
    <row r="128" spans="14:14">
      <c r="N128" s="28"/>
    </row>
    <row r="129" spans="14:14">
      <c r="N129" s="28"/>
    </row>
    <row r="130" spans="14:14">
      <c r="N130" s="28"/>
    </row>
    <row r="131" spans="14:14">
      <c r="N131" s="28"/>
    </row>
    <row r="132" spans="14:14">
      <c r="N132" s="28"/>
    </row>
    <row r="133" spans="14:14">
      <c r="N133" s="28"/>
    </row>
    <row r="134" spans="14:14">
      <c r="N134" s="28"/>
    </row>
    <row r="135" spans="14:14">
      <c r="N135" s="28"/>
    </row>
    <row r="136" spans="14:14">
      <c r="N136" s="28"/>
    </row>
    <row r="137" spans="14:14">
      <c r="N137" s="28"/>
    </row>
    <row r="138" spans="14:14">
      <c r="N138" s="28"/>
    </row>
    <row r="139" spans="14:14">
      <c r="N139" s="28"/>
    </row>
    <row r="140" spans="14:14">
      <c r="N140" s="28"/>
    </row>
    <row r="141" spans="14:14">
      <c r="N141" s="28"/>
    </row>
    <row r="142" spans="14:14">
      <c r="N142" s="28"/>
    </row>
    <row r="143" spans="14:14">
      <c r="N143" s="28"/>
    </row>
    <row r="144" spans="14:14">
      <c r="N144" s="28"/>
    </row>
    <row r="145" spans="14:14">
      <c r="N145" s="28"/>
    </row>
    <row r="146" spans="14:14">
      <c r="N146" s="28"/>
    </row>
    <row r="147" spans="14:14">
      <c r="N147" s="28"/>
    </row>
    <row r="148" spans="14:14">
      <c r="N148" s="28"/>
    </row>
    <row r="149" spans="14:14">
      <c r="N149" s="28"/>
    </row>
    <row r="150" spans="14:14">
      <c r="N150" s="28"/>
    </row>
    <row r="151" spans="14:14">
      <c r="N151" s="28"/>
    </row>
    <row r="152" spans="14:14">
      <c r="N152" s="28"/>
    </row>
    <row r="153" spans="14:14">
      <c r="N153" s="28"/>
    </row>
    <row r="154" spans="14:14">
      <c r="N154" s="28"/>
    </row>
    <row r="155" spans="14:14">
      <c r="N155" s="28"/>
    </row>
    <row r="156" spans="14:14">
      <c r="N156" s="28"/>
    </row>
    <row r="157" spans="14:14">
      <c r="N157" s="28"/>
    </row>
    <row r="158" spans="14:14">
      <c r="N158" s="28"/>
    </row>
    <row r="159" spans="14:14">
      <c r="N159" s="28"/>
    </row>
    <row r="160" spans="14:14">
      <c r="N160" s="28"/>
    </row>
    <row r="161" spans="14:14">
      <c r="N161" s="28"/>
    </row>
    <row r="162" spans="14:14">
      <c r="N162" s="28"/>
    </row>
    <row r="163" spans="14:14">
      <c r="N163" s="28"/>
    </row>
    <row r="164" spans="14:14">
      <c r="N164" s="28"/>
    </row>
    <row r="165" spans="14:14">
      <c r="N165" s="28"/>
    </row>
    <row r="166" spans="14:14">
      <c r="N166" s="28"/>
    </row>
    <row r="167" spans="14:14">
      <c r="N167" s="28"/>
    </row>
    <row r="168" spans="14:14">
      <c r="N168" s="28"/>
    </row>
    <row r="169" spans="14:14">
      <c r="N169" s="28"/>
    </row>
    <row r="170" spans="14:14">
      <c r="N170" s="28"/>
    </row>
    <row r="171" spans="14:14">
      <c r="N171" s="28"/>
    </row>
    <row r="172" spans="14:14">
      <c r="N172" s="28"/>
    </row>
    <row r="173" spans="14:14">
      <c r="N173" s="28"/>
    </row>
    <row r="174" spans="14:14">
      <c r="N174" s="28"/>
    </row>
    <row r="175" spans="14:14">
      <c r="N175" s="28"/>
    </row>
    <row r="176" spans="14:14">
      <c r="N176" s="28"/>
    </row>
    <row r="177" spans="14:14">
      <c r="N177" s="28"/>
    </row>
    <row r="178" spans="14:14">
      <c r="N178" s="28"/>
    </row>
    <row r="179" spans="14:14">
      <c r="N179" s="28"/>
    </row>
    <row r="180" spans="14:14">
      <c r="N180" s="28"/>
    </row>
    <row r="181" spans="14:14">
      <c r="N181" s="28"/>
    </row>
    <row r="182" spans="14:14">
      <c r="N182" s="28"/>
    </row>
    <row r="183" spans="14:14">
      <c r="N183" s="28"/>
    </row>
    <row r="184" spans="14:14">
      <c r="N184" s="28"/>
    </row>
    <row r="185" spans="14:14">
      <c r="N185" s="28"/>
    </row>
    <row r="186" spans="14:14">
      <c r="N186" s="28"/>
    </row>
    <row r="187" spans="14:14">
      <c r="N187" s="28"/>
    </row>
    <row r="188" spans="14:14">
      <c r="N188" s="28"/>
    </row>
    <row r="189" spans="14:14">
      <c r="N189" s="28"/>
    </row>
    <row r="190" spans="14:14">
      <c r="N190" s="28"/>
    </row>
    <row r="191" spans="14:14">
      <c r="N191" s="28"/>
    </row>
    <row r="192" spans="14:14">
      <c r="N192" s="28"/>
    </row>
    <row r="193" spans="14:14">
      <c r="N193" s="28"/>
    </row>
    <row r="194" spans="14:14">
      <c r="N194" s="28"/>
    </row>
    <row r="195" spans="14:14">
      <c r="N195" s="28"/>
    </row>
    <row r="196" spans="14:14">
      <c r="N196" s="28"/>
    </row>
    <row r="197" spans="14:14">
      <c r="N197" s="28"/>
    </row>
    <row r="198" spans="14:14">
      <c r="N198" s="28"/>
    </row>
    <row r="199" spans="14:14">
      <c r="N199" s="28"/>
    </row>
    <row r="200" spans="14:14">
      <c r="N200" s="28"/>
    </row>
    <row r="201" spans="14:14">
      <c r="N201" s="28"/>
    </row>
    <row r="202" spans="14:14">
      <c r="N202" s="28"/>
    </row>
    <row r="203" spans="14:14">
      <c r="N203" s="28"/>
    </row>
    <row r="204" spans="14:14">
      <c r="N204" s="28"/>
    </row>
    <row r="205" spans="14:14">
      <c r="N205" s="28"/>
    </row>
    <row r="206" spans="14:14">
      <c r="N206" s="28"/>
    </row>
    <row r="207" spans="14:14">
      <c r="N207" s="28"/>
    </row>
    <row r="208" spans="14:14">
      <c r="N208" s="28"/>
    </row>
    <row r="209" spans="14:14">
      <c r="N209" s="28"/>
    </row>
    <row r="210" spans="14:14">
      <c r="N210" s="28"/>
    </row>
    <row r="211" spans="14:14">
      <c r="N211" s="28"/>
    </row>
    <row r="212" spans="14:14">
      <c r="N212" s="28"/>
    </row>
    <row r="213" spans="14:14">
      <c r="N213" s="28"/>
    </row>
    <row r="214" spans="14:14">
      <c r="N214" s="28"/>
    </row>
    <row r="215" spans="14:14">
      <c r="N215" s="28"/>
    </row>
    <row r="216" spans="14:14">
      <c r="N216" s="28"/>
    </row>
    <row r="217" spans="14:14">
      <c r="N217" s="28"/>
    </row>
    <row r="218" spans="14:14">
      <c r="N218" s="28"/>
    </row>
    <row r="219" spans="14:14">
      <c r="N219" s="28"/>
    </row>
    <row r="220" spans="14:14">
      <c r="N220" s="28"/>
    </row>
    <row r="221" spans="14:14">
      <c r="N221" s="28"/>
    </row>
    <row r="222" spans="14:14">
      <c r="N222" s="28"/>
    </row>
    <row r="223" spans="14:14">
      <c r="N223" s="28"/>
    </row>
    <row r="224" spans="14:14">
      <c r="N224" s="28"/>
    </row>
    <row r="225" spans="14:14">
      <c r="N225" s="28"/>
    </row>
    <row r="226" spans="14:14">
      <c r="N226" s="28"/>
    </row>
    <row r="227" spans="14:14">
      <c r="N227" s="28"/>
    </row>
    <row r="228" spans="14:14">
      <c r="N228" s="28"/>
    </row>
    <row r="229" spans="14:14">
      <c r="N229" s="28"/>
    </row>
    <row r="230" spans="14:14">
      <c r="N230" s="28"/>
    </row>
    <row r="231" spans="14:14">
      <c r="N231" s="28"/>
    </row>
    <row r="232" spans="14:14">
      <c r="N232" s="28"/>
    </row>
    <row r="233" spans="14:14">
      <c r="N233" s="28"/>
    </row>
    <row r="234" spans="14:14">
      <c r="N234" s="28"/>
    </row>
    <row r="235" spans="14:14">
      <c r="N235" s="28"/>
    </row>
    <row r="236" spans="14:14">
      <c r="N236" s="28"/>
    </row>
    <row r="237" spans="14:14">
      <c r="N237" s="28"/>
    </row>
    <row r="238" spans="14:14">
      <c r="N238" s="28"/>
    </row>
    <row r="239" spans="14:14">
      <c r="N239" s="28"/>
    </row>
    <row r="240" spans="14:14">
      <c r="N240" s="28"/>
    </row>
    <row r="241" spans="14:14">
      <c r="N241" s="28"/>
    </row>
    <row r="242" spans="14:14">
      <c r="N242" s="28"/>
    </row>
    <row r="243" spans="14:14">
      <c r="N243" s="28"/>
    </row>
    <row r="244" spans="14:14">
      <c r="N244" s="28"/>
    </row>
    <row r="245" spans="14:14">
      <c r="N245" s="28"/>
    </row>
    <row r="246" spans="14:14">
      <c r="N246" s="28"/>
    </row>
    <row r="247" spans="14:14">
      <c r="N247" s="28"/>
    </row>
    <row r="248" spans="14:14">
      <c r="N248" s="28"/>
    </row>
    <row r="249" spans="14:14">
      <c r="N249" s="28"/>
    </row>
    <row r="250" spans="14:14">
      <c r="N250" s="28"/>
    </row>
    <row r="251" spans="14:14">
      <c r="N251" s="28"/>
    </row>
    <row r="252" spans="14:14">
      <c r="N252" s="28"/>
    </row>
    <row r="253" spans="14:14">
      <c r="N253" s="28"/>
    </row>
    <row r="254" spans="14:14">
      <c r="N254" s="28"/>
    </row>
    <row r="255" spans="14:14">
      <c r="N255" s="28"/>
    </row>
    <row r="256" spans="14:14">
      <c r="N256" s="28"/>
    </row>
    <row r="257" spans="14:14">
      <c r="N257" s="28"/>
    </row>
    <row r="258" spans="14:14">
      <c r="N258" s="28"/>
    </row>
    <row r="259" spans="14:14">
      <c r="N259" s="28"/>
    </row>
    <row r="260" spans="14:14">
      <c r="N260" s="28"/>
    </row>
    <row r="261" spans="14:14">
      <c r="N261" s="28"/>
    </row>
    <row r="262" spans="14:14">
      <c r="N262" s="28"/>
    </row>
    <row r="263" spans="14:14">
      <c r="N263" s="28"/>
    </row>
    <row r="264" spans="14:14">
      <c r="N264" s="28"/>
    </row>
    <row r="265" spans="14:14">
      <c r="N265" s="28"/>
    </row>
    <row r="266" spans="14:14">
      <c r="N266" s="28"/>
    </row>
    <row r="267" spans="14:14">
      <c r="N267" s="28"/>
    </row>
    <row r="268" spans="14:14">
      <c r="N268" s="28"/>
    </row>
    <row r="269" spans="14:14">
      <c r="N269" s="28"/>
    </row>
    <row r="270" spans="14:14">
      <c r="N270" s="28"/>
    </row>
    <row r="271" spans="14:14">
      <c r="N271" s="28"/>
    </row>
    <row r="272" spans="14:14">
      <c r="N272" s="28"/>
    </row>
    <row r="273" spans="14:14">
      <c r="N273" s="28"/>
    </row>
    <row r="274" spans="14:14">
      <c r="N274" s="28"/>
    </row>
    <row r="275" spans="14:14">
      <c r="N275" s="28"/>
    </row>
    <row r="276" spans="14:14">
      <c r="N276" s="28"/>
    </row>
    <row r="277" spans="14:14">
      <c r="N277" s="28"/>
    </row>
    <row r="278" spans="14:14">
      <c r="N278" s="28"/>
    </row>
    <row r="279" spans="14:14">
      <c r="N279" s="28"/>
    </row>
    <row r="280" spans="14:14">
      <c r="N280" s="28"/>
    </row>
    <row r="281" spans="14:14">
      <c r="N281" s="28"/>
    </row>
    <row r="282" spans="14:14">
      <c r="N282" s="28"/>
    </row>
    <row r="283" spans="14:14">
      <c r="N283" s="28"/>
    </row>
    <row r="284" spans="14:14">
      <c r="N284" s="28"/>
    </row>
    <row r="285" spans="14:14">
      <c r="N285" s="28"/>
    </row>
    <row r="286" spans="14:14">
      <c r="N286" s="28"/>
    </row>
    <row r="287" spans="14:14">
      <c r="N287" s="28"/>
    </row>
    <row r="288" spans="14:14">
      <c r="N288" s="28"/>
    </row>
    <row r="289" spans="14:14">
      <c r="N289" s="28"/>
    </row>
    <row r="290" spans="14:14">
      <c r="N290" s="28"/>
    </row>
    <row r="291" spans="14:14">
      <c r="N291" s="28"/>
    </row>
    <row r="292" spans="14:14">
      <c r="N292" s="28"/>
    </row>
    <row r="293" spans="14:14">
      <c r="N293" s="28"/>
    </row>
    <row r="294" spans="14:14">
      <c r="N294" s="28"/>
    </row>
    <row r="295" spans="14:14">
      <c r="N295" s="28"/>
    </row>
    <row r="296" spans="14:14">
      <c r="N296" s="28"/>
    </row>
    <row r="297" spans="14:14">
      <c r="N297" s="28"/>
    </row>
    <row r="298" spans="14:14">
      <c r="N298" s="28"/>
    </row>
    <row r="299" spans="14:14">
      <c r="N299" s="28"/>
    </row>
    <row r="300" spans="14:14">
      <c r="N300" s="28"/>
    </row>
    <row r="301" spans="14:14">
      <c r="N301" s="28"/>
    </row>
    <row r="302" spans="14:14">
      <c r="N302" s="28"/>
    </row>
    <row r="303" spans="14:14">
      <c r="N303" s="28"/>
    </row>
    <row r="304" spans="14:14">
      <c r="N304" s="28"/>
    </row>
    <row r="305" spans="14:14">
      <c r="N305" s="28"/>
    </row>
    <row r="306" spans="14:14">
      <c r="N306" s="28"/>
    </row>
    <row r="307" spans="14:14">
      <c r="N307" s="28"/>
    </row>
    <row r="308" spans="14:14">
      <c r="N308" s="28"/>
    </row>
    <row r="309" spans="14:14">
      <c r="N309" s="28"/>
    </row>
    <row r="310" spans="14:14">
      <c r="N310" s="28"/>
    </row>
    <row r="311" spans="14:14">
      <c r="N311" s="28"/>
    </row>
    <row r="312" spans="14:14">
      <c r="N312" s="28"/>
    </row>
    <row r="313" spans="14:14">
      <c r="N313" s="28"/>
    </row>
    <row r="314" spans="14:14">
      <c r="N314" s="28"/>
    </row>
    <row r="315" spans="14:14">
      <c r="N315" s="28"/>
    </row>
    <row r="316" spans="14:14">
      <c r="N316" s="28"/>
    </row>
    <row r="317" spans="14:14">
      <c r="N317" s="28"/>
    </row>
    <row r="318" spans="14:14">
      <c r="N318" s="28"/>
    </row>
    <row r="319" spans="14:14">
      <c r="N319" s="28"/>
    </row>
    <row r="320" spans="14:14">
      <c r="N320" s="28"/>
    </row>
    <row r="321" spans="14:14">
      <c r="N321" s="28"/>
    </row>
    <row r="322" spans="14:14">
      <c r="N322" s="28"/>
    </row>
    <row r="323" spans="14:14">
      <c r="N323" s="28"/>
    </row>
    <row r="324" spans="14:14">
      <c r="N324" s="28"/>
    </row>
    <row r="325" spans="14:14">
      <c r="N325" s="28"/>
    </row>
    <row r="326" spans="14:14">
      <c r="N326" s="28"/>
    </row>
    <row r="327" spans="14:14">
      <c r="N327" s="28"/>
    </row>
    <row r="328" spans="14:14">
      <c r="N328" s="28"/>
    </row>
    <row r="329" spans="14:14">
      <c r="N329" s="28"/>
    </row>
    <row r="330" spans="14:14">
      <c r="N330" s="28"/>
    </row>
    <row r="331" spans="14:14">
      <c r="N331" s="28"/>
    </row>
    <row r="332" spans="14:14">
      <c r="N332" s="28"/>
    </row>
    <row r="333" spans="14:14">
      <c r="N333" s="28"/>
    </row>
    <row r="334" spans="14:14">
      <c r="N334" s="28"/>
    </row>
    <row r="335" spans="14:14">
      <c r="N335" s="28"/>
    </row>
    <row r="336" spans="14:14">
      <c r="N336" s="28"/>
    </row>
    <row r="337" spans="14:14">
      <c r="N337" s="28"/>
    </row>
    <row r="338" spans="14:14">
      <c r="N338" s="28"/>
    </row>
    <row r="339" spans="14:14">
      <c r="N339" s="28"/>
    </row>
    <row r="340" spans="14:14">
      <c r="N340" s="28"/>
    </row>
    <row r="341" spans="14:14">
      <c r="N341" s="28"/>
    </row>
    <row r="342" spans="14:14">
      <c r="N342" s="28"/>
    </row>
    <row r="343" spans="14:14">
      <c r="N343" s="28"/>
    </row>
    <row r="344" spans="14:14">
      <c r="N344" s="28"/>
    </row>
    <row r="345" spans="14:14">
      <c r="N345" s="28"/>
    </row>
    <row r="346" spans="14:14">
      <c r="N346" s="28"/>
    </row>
    <row r="347" spans="14:14">
      <c r="N347" s="28"/>
    </row>
    <row r="348" spans="14:14">
      <c r="N348" s="28"/>
    </row>
    <row r="349" spans="14:14">
      <c r="N349" s="28"/>
    </row>
    <row r="350" spans="14:14">
      <c r="N350" s="28"/>
    </row>
    <row r="351" spans="14:14">
      <c r="N351" s="28"/>
    </row>
    <row r="352" spans="14:14">
      <c r="N352" s="28"/>
    </row>
    <row r="353" spans="14:14">
      <c r="N353" s="28"/>
    </row>
    <row r="354" spans="14:14">
      <c r="N354" s="28"/>
    </row>
    <row r="355" spans="14:14">
      <c r="N355" s="28"/>
    </row>
    <row r="356" spans="14:14">
      <c r="N356" s="28"/>
    </row>
    <row r="357" spans="14:14">
      <c r="N357" s="28"/>
    </row>
    <row r="358" spans="14:14">
      <c r="N358" s="28"/>
    </row>
    <row r="359" spans="14:14">
      <c r="N359" s="28"/>
    </row>
    <row r="360" spans="14:14">
      <c r="N360" s="28"/>
    </row>
    <row r="361" spans="14:14">
      <c r="N361" s="28"/>
    </row>
    <row r="362" spans="14:14">
      <c r="N362" s="28"/>
    </row>
    <row r="363" spans="14:14">
      <c r="N363" s="28"/>
    </row>
  </sheetData>
  <mergeCells count="11">
    <mergeCell ref="F15:J15"/>
    <mergeCell ref="F3:H3"/>
    <mergeCell ref="F4:H4"/>
    <mergeCell ref="F6:H6"/>
    <mergeCell ref="F7:H7"/>
    <mergeCell ref="F14:J14"/>
    <mergeCell ref="F16:J16"/>
    <mergeCell ref="F17:J17"/>
    <mergeCell ref="F18:J18"/>
    <mergeCell ref="F19:J19"/>
    <mergeCell ref="F86:J86"/>
  </mergeCells>
  <pageMargins left="1.1811023622047245" right="0.78740157480314965" top="0.78740157480314965" bottom="0.78740157480314965" header="0.51181102362204722" footer="0.51181102362204722"/>
  <pageSetup paperSize="9" scale="62" orientation="portrait" verticalDpi="300" r:id="rId1"/>
  <headerFooter scaleWithDoc="0" alignWithMargins="0">
    <oddHeader>&amp;L&amp;"-,Regular"&amp;8&amp;F&amp;R&amp;"-,Regular"&amp;8&amp;A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2E283-104A-4F40-9F1A-8C7E203E6153}">
  <sheetPr>
    <tabColor theme="0"/>
    <pageSetUpPr fitToPage="1"/>
  </sheetPr>
  <dimension ref="B1:CE53"/>
  <sheetViews>
    <sheetView showRowColHeaders="0" tabSelected="1" zoomScale="90" zoomScaleNormal="90" workbookViewId="0">
      <selection activeCell="H15" sqref="H15:I15"/>
    </sheetView>
  </sheetViews>
  <sheetFormatPr defaultRowHeight="12.6"/>
  <cols>
    <col min="1" max="1" width="3.69921875" style="120" customWidth="1"/>
    <col min="2" max="2" width="2.19921875" style="120" customWidth="1"/>
    <col min="3" max="3" width="40.69921875" style="120" customWidth="1"/>
    <col min="4" max="4" width="45.69921875" style="120" customWidth="1"/>
    <col min="5" max="5" width="21.5" style="120" customWidth="1"/>
    <col min="6" max="14" width="9" style="120"/>
    <col min="15" max="15" width="9.19921875" style="120" customWidth="1"/>
    <col min="16" max="256" width="9" style="120"/>
    <col min="257" max="257" width="3.69921875" style="120" customWidth="1"/>
    <col min="258" max="258" width="2.19921875" style="120" customWidth="1"/>
    <col min="259" max="259" width="31.19921875" style="120" customWidth="1"/>
    <col min="260" max="260" width="45.69921875" style="120" customWidth="1"/>
    <col min="261" max="261" width="21.5" style="120" customWidth="1"/>
    <col min="262" max="270" width="9" style="120"/>
    <col min="271" max="271" width="9.19921875" style="120" customWidth="1"/>
    <col min="272" max="512" width="9" style="120"/>
    <col min="513" max="513" width="3.69921875" style="120" customWidth="1"/>
    <col min="514" max="514" width="2.19921875" style="120" customWidth="1"/>
    <col min="515" max="515" width="31.19921875" style="120" customWidth="1"/>
    <col min="516" max="516" width="45.69921875" style="120" customWidth="1"/>
    <col min="517" max="517" width="21.5" style="120" customWidth="1"/>
    <col min="518" max="526" width="9" style="120"/>
    <col min="527" max="527" width="9.19921875" style="120" customWidth="1"/>
    <col min="528" max="768" width="9" style="120"/>
    <col min="769" max="769" width="3.69921875" style="120" customWidth="1"/>
    <col min="770" max="770" width="2.19921875" style="120" customWidth="1"/>
    <col min="771" max="771" width="31.19921875" style="120" customWidth="1"/>
    <col min="772" max="772" width="45.69921875" style="120" customWidth="1"/>
    <col min="773" max="773" width="21.5" style="120" customWidth="1"/>
    <col min="774" max="782" width="9" style="120"/>
    <col min="783" max="783" width="9.19921875" style="120" customWidth="1"/>
    <col min="784" max="1024" width="9" style="120"/>
    <col min="1025" max="1025" width="3.69921875" style="120" customWidth="1"/>
    <col min="1026" max="1026" width="2.19921875" style="120" customWidth="1"/>
    <col min="1027" max="1027" width="31.19921875" style="120" customWidth="1"/>
    <col min="1028" max="1028" width="45.69921875" style="120" customWidth="1"/>
    <col min="1029" max="1029" width="21.5" style="120" customWidth="1"/>
    <col min="1030" max="1038" width="9" style="120"/>
    <col min="1039" max="1039" width="9.19921875" style="120" customWidth="1"/>
    <col min="1040" max="1280" width="9" style="120"/>
    <col min="1281" max="1281" width="3.69921875" style="120" customWidth="1"/>
    <col min="1282" max="1282" width="2.19921875" style="120" customWidth="1"/>
    <col min="1283" max="1283" width="31.19921875" style="120" customWidth="1"/>
    <col min="1284" max="1284" width="45.69921875" style="120" customWidth="1"/>
    <col min="1285" max="1285" width="21.5" style="120" customWidth="1"/>
    <col min="1286" max="1294" width="9" style="120"/>
    <col min="1295" max="1295" width="9.19921875" style="120" customWidth="1"/>
    <col min="1296" max="1536" width="9" style="120"/>
    <col min="1537" max="1537" width="3.69921875" style="120" customWidth="1"/>
    <col min="1538" max="1538" width="2.19921875" style="120" customWidth="1"/>
    <col min="1539" max="1539" width="31.19921875" style="120" customWidth="1"/>
    <col min="1540" max="1540" width="45.69921875" style="120" customWidth="1"/>
    <col min="1541" max="1541" width="21.5" style="120" customWidth="1"/>
    <col min="1542" max="1550" width="9" style="120"/>
    <col min="1551" max="1551" width="9.19921875" style="120" customWidth="1"/>
    <col min="1552" max="1792" width="9" style="120"/>
    <col min="1793" max="1793" width="3.69921875" style="120" customWidth="1"/>
    <col min="1794" max="1794" width="2.19921875" style="120" customWidth="1"/>
    <col min="1795" max="1795" width="31.19921875" style="120" customWidth="1"/>
    <col min="1796" max="1796" width="45.69921875" style="120" customWidth="1"/>
    <col min="1797" max="1797" width="21.5" style="120" customWidth="1"/>
    <col min="1798" max="1806" width="9" style="120"/>
    <col min="1807" max="1807" width="9.19921875" style="120" customWidth="1"/>
    <col min="1808" max="2048" width="9" style="120"/>
    <col min="2049" max="2049" width="3.69921875" style="120" customWidth="1"/>
    <col min="2050" max="2050" width="2.19921875" style="120" customWidth="1"/>
    <col min="2051" max="2051" width="31.19921875" style="120" customWidth="1"/>
    <col min="2052" max="2052" width="45.69921875" style="120" customWidth="1"/>
    <col min="2053" max="2053" width="21.5" style="120" customWidth="1"/>
    <col min="2054" max="2062" width="9" style="120"/>
    <col min="2063" max="2063" width="9.19921875" style="120" customWidth="1"/>
    <col min="2064" max="2304" width="9" style="120"/>
    <col min="2305" max="2305" width="3.69921875" style="120" customWidth="1"/>
    <col min="2306" max="2306" width="2.19921875" style="120" customWidth="1"/>
    <col min="2307" max="2307" width="31.19921875" style="120" customWidth="1"/>
    <col min="2308" max="2308" width="45.69921875" style="120" customWidth="1"/>
    <col min="2309" max="2309" width="21.5" style="120" customWidth="1"/>
    <col min="2310" max="2318" width="9" style="120"/>
    <col min="2319" max="2319" width="9.19921875" style="120" customWidth="1"/>
    <col min="2320" max="2560" width="9" style="120"/>
    <col min="2561" max="2561" width="3.69921875" style="120" customWidth="1"/>
    <col min="2562" max="2562" width="2.19921875" style="120" customWidth="1"/>
    <col min="2563" max="2563" width="31.19921875" style="120" customWidth="1"/>
    <col min="2564" max="2564" width="45.69921875" style="120" customWidth="1"/>
    <col min="2565" max="2565" width="21.5" style="120" customWidth="1"/>
    <col min="2566" max="2574" width="9" style="120"/>
    <col min="2575" max="2575" width="9.19921875" style="120" customWidth="1"/>
    <col min="2576" max="2816" width="9" style="120"/>
    <col min="2817" max="2817" width="3.69921875" style="120" customWidth="1"/>
    <col min="2818" max="2818" width="2.19921875" style="120" customWidth="1"/>
    <col min="2819" max="2819" width="31.19921875" style="120" customWidth="1"/>
    <col min="2820" max="2820" width="45.69921875" style="120" customWidth="1"/>
    <col min="2821" max="2821" width="21.5" style="120" customWidth="1"/>
    <col min="2822" max="2830" width="9" style="120"/>
    <col min="2831" max="2831" width="9.19921875" style="120" customWidth="1"/>
    <col min="2832" max="3072" width="9" style="120"/>
    <col min="3073" max="3073" width="3.69921875" style="120" customWidth="1"/>
    <col min="3074" max="3074" width="2.19921875" style="120" customWidth="1"/>
    <col min="3075" max="3075" width="31.19921875" style="120" customWidth="1"/>
    <col min="3076" max="3076" width="45.69921875" style="120" customWidth="1"/>
    <col min="3077" max="3077" width="21.5" style="120" customWidth="1"/>
    <col min="3078" max="3086" width="9" style="120"/>
    <col min="3087" max="3087" width="9.19921875" style="120" customWidth="1"/>
    <col min="3088" max="3328" width="9" style="120"/>
    <col min="3329" max="3329" width="3.69921875" style="120" customWidth="1"/>
    <col min="3330" max="3330" width="2.19921875" style="120" customWidth="1"/>
    <col min="3331" max="3331" width="31.19921875" style="120" customWidth="1"/>
    <col min="3332" max="3332" width="45.69921875" style="120" customWidth="1"/>
    <col min="3333" max="3333" width="21.5" style="120" customWidth="1"/>
    <col min="3334" max="3342" width="9" style="120"/>
    <col min="3343" max="3343" width="9.19921875" style="120" customWidth="1"/>
    <col min="3344" max="3584" width="9" style="120"/>
    <col min="3585" max="3585" width="3.69921875" style="120" customWidth="1"/>
    <col min="3586" max="3586" width="2.19921875" style="120" customWidth="1"/>
    <col min="3587" max="3587" width="31.19921875" style="120" customWidth="1"/>
    <col min="3588" max="3588" width="45.69921875" style="120" customWidth="1"/>
    <col min="3589" max="3589" width="21.5" style="120" customWidth="1"/>
    <col min="3590" max="3598" width="9" style="120"/>
    <col min="3599" max="3599" width="9.19921875" style="120" customWidth="1"/>
    <col min="3600" max="3840" width="9" style="120"/>
    <col min="3841" max="3841" width="3.69921875" style="120" customWidth="1"/>
    <col min="3842" max="3842" width="2.19921875" style="120" customWidth="1"/>
    <col min="3843" max="3843" width="31.19921875" style="120" customWidth="1"/>
    <col min="3844" max="3844" width="45.69921875" style="120" customWidth="1"/>
    <col min="3845" max="3845" width="21.5" style="120" customWidth="1"/>
    <col min="3846" max="3854" width="9" style="120"/>
    <col min="3855" max="3855" width="9.19921875" style="120" customWidth="1"/>
    <col min="3856" max="4096" width="9" style="120"/>
    <col min="4097" max="4097" width="3.69921875" style="120" customWidth="1"/>
    <col min="4098" max="4098" width="2.19921875" style="120" customWidth="1"/>
    <col min="4099" max="4099" width="31.19921875" style="120" customWidth="1"/>
    <col min="4100" max="4100" width="45.69921875" style="120" customWidth="1"/>
    <col min="4101" max="4101" width="21.5" style="120" customWidth="1"/>
    <col min="4102" max="4110" width="9" style="120"/>
    <col min="4111" max="4111" width="9.19921875" style="120" customWidth="1"/>
    <col min="4112" max="4352" width="9" style="120"/>
    <col min="4353" max="4353" width="3.69921875" style="120" customWidth="1"/>
    <col min="4354" max="4354" width="2.19921875" style="120" customWidth="1"/>
    <col min="4355" max="4355" width="31.19921875" style="120" customWidth="1"/>
    <col min="4356" max="4356" width="45.69921875" style="120" customWidth="1"/>
    <col min="4357" max="4357" width="21.5" style="120" customWidth="1"/>
    <col min="4358" max="4366" width="9" style="120"/>
    <col min="4367" max="4367" width="9.19921875" style="120" customWidth="1"/>
    <col min="4368" max="4608" width="9" style="120"/>
    <col min="4609" max="4609" width="3.69921875" style="120" customWidth="1"/>
    <col min="4610" max="4610" width="2.19921875" style="120" customWidth="1"/>
    <col min="4611" max="4611" width="31.19921875" style="120" customWidth="1"/>
    <col min="4612" max="4612" width="45.69921875" style="120" customWidth="1"/>
    <col min="4613" max="4613" width="21.5" style="120" customWidth="1"/>
    <col min="4614" max="4622" width="9" style="120"/>
    <col min="4623" max="4623" width="9.19921875" style="120" customWidth="1"/>
    <col min="4624" max="4864" width="9" style="120"/>
    <col min="4865" max="4865" width="3.69921875" style="120" customWidth="1"/>
    <col min="4866" max="4866" width="2.19921875" style="120" customWidth="1"/>
    <col min="4867" max="4867" width="31.19921875" style="120" customWidth="1"/>
    <col min="4868" max="4868" width="45.69921875" style="120" customWidth="1"/>
    <col min="4869" max="4869" width="21.5" style="120" customWidth="1"/>
    <col min="4870" max="4878" width="9" style="120"/>
    <col min="4879" max="4879" width="9.19921875" style="120" customWidth="1"/>
    <col min="4880" max="5120" width="9" style="120"/>
    <col min="5121" max="5121" width="3.69921875" style="120" customWidth="1"/>
    <col min="5122" max="5122" width="2.19921875" style="120" customWidth="1"/>
    <col min="5123" max="5123" width="31.19921875" style="120" customWidth="1"/>
    <col min="5124" max="5124" width="45.69921875" style="120" customWidth="1"/>
    <col min="5125" max="5125" width="21.5" style="120" customWidth="1"/>
    <col min="5126" max="5134" width="9" style="120"/>
    <col min="5135" max="5135" width="9.19921875" style="120" customWidth="1"/>
    <col min="5136" max="5376" width="9" style="120"/>
    <col min="5377" max="5377" width="3.69921875" style="120" customWidth="1"/>
    <col min="5378" max="5378" width="2.19921875" style="120" customWidth="1"/>
    <col min="5379" max="5379" width="31.19921875" style="120" customWidth="1"/>
    <col min="5380" max="5380" width="45.69921875" style="120" customWidth="1"/>
    <col min="5381" max="5381" width="21.5" style="120" customWidth="1"/>
    <col min="5382" max="5390" width="9" style="120"/>
    <col min="5391" max="5391" width="9.19921875" style="120" customWidth="1"/>
    <col min="5392" max="5632" width="9" style="120"/>
    <col min="5633" max="5633" width="3.69921875" style="120" customWidth="1"/>
    <col min="5634" max="5634" width="2.19921875" style="120" customWidth="1"/>
    <col min="5635" max="5635" width="31.19921875" style="120" customWidth="1"/>
    <col min="5636" max="5636" width="45.69921875" style="120" customWidth="1"/>
    <col min="5637" max="5637" width="21.5" style="120" customWidth="1"/>
    <col min="5638" max="5646" width="9" style="120"/>
    <col min="5647" max="5647" width="9.19921875" style="120" customWidth="1"/>
    <col min="5648" max="5888" width="9" style="120"/>
    <col min="5889" max="5889" width="3.69921875" style="120" customWidth="1"/>
    <col min="5890" max="5890" width="2.19921875" style="120" customWidth="1"/>
    <col min="5891" max="5891" width="31.19921875" style="120" customWidth="1"/>
    <col min="5892" max="5892" width="45.69921875" style="120" customWidth="1"/>
    <col min="5893" max="5893" width="21.5" style="120" customWidth="1"/>
    <col min="5894" max="5902" width="9" style="120"/>
    <col min="5903" max="5903" width="9.19921875" style="120" customWidth="1"/>
    <col min="5904" max="6144" width="9" style="120"/>
    <col min="6145" max="6145" width="3.69921875" style="120" customWidth="1"/>
    <col min="6146" max="6146" width="2.19921875" style="120" customWidth="1"/>
    <col min="6147" max="6147" width="31.19921875" style="120" customWidth="1"/>
    <col min="6148" max="6148" width="45.69921875" style="120" customWidth="1"/>
    <col min="6149" max="6149" width="21.5" style="120" customWidth="1"/>
    <col min="6150" max="6158" width="9" style="120"/>
    <col min="6159" max="6159" width="9.19921875" style="120" customWidth="1"/>
    <col min="6160" max="6400" width="9" style="120"/>
    <col min="6401" max="6401" width="3.69921875" style="120" customWidth="1"/>
    <col min="6402" max="6402" width="2.19921875" style="120" customWidth="1"/>
    <col min="6403" max="6403" width="31.19921875" style="120" customWidth="1"/>
    <col min="6404" max="6404" width="45.69921875" style="120" customWidth="1"/>
    <col min="6405" max="6405" width="21.5" style="120" customWidth="1"/>
    <col min="6406" max="6414" width="9" style="120"/>
    <col min="6415" max="6415" width="9.19921875" style="120" customWidth="1"/>
    <col min="6416" max="6656" width="9" style="120"/>
    <col min="6657" max="6657" width="3.69921875" style="120" customWidth="1"/>
    <col min="6658" max="6658" width="2.19921875" style="120" customWidth="1"/>
    <col min="6659" max="6659" width="31.19921875" style="120" customWidth="1"/>
    <col min="6660" max="6660" width="45.69921875" style="120" customWidth="1"/>
    <col min="6661" max="6661" width="21.5" style="120" customWidth="1"/>
    <col min="6662" max="6670" width="9" style="120"/>
    <col min="6671" max="6671" width="9.19921875" style="120" customWidth="1"/>
    <col min="6672" max="6912" width="9" style="120"/>
    <col min="6913" max="6913" width="3.69921875" style="120" customWidth="1"/>
    <col min="6914" max="6914" width="2.19921875" style="120" customWidth="1"/>
    <col min="6915" max="6915" width="31.19921875" style="120" customWidth="1"/>
    <col min="6916" max="6916" width="45.69921875" style="120" customWidth="1"/>
    <col min="6917" max="6917" width="21.5" style="120" customWidth="1"/>
    <col min="6918" max="6926" width="9" style="120"/>
    <col min="6927" max="6927" width="9.19921875" style="120" customWidth="1"/>
    <col min="6928" max="7168" width="9" style="120"/>
    <col min="7169" max="7169" width="3.69921875" style="120" customWidth="1"/>
    <col min="7170" max="7170" width="2.19921875" style="120" customWidth="1"/>
    <col min="7171" max="7171" width="31.19921875" style="120" customWidth="1"/>
    <col min="7172" max="7172" width="45.69921875" style="120" customWidth="1"/>
    <col min="7173" max="7173" width="21.5" style="120" customWidth="1"/>
    <col min="7174" max="7182" width="9" style="120"/>
    <col min="7183" max="7183" width="9.19921875" style="120" customWidth="1"/>
    <col min="7184" max="7424" width="9" style="120"/>
    <col min="7425" max="7425" width="3.69921875" style="120" customWidth="1"/>
    <col min="7426" max="7426" width="2.19921875" style="120" customWidth="1"/>
    <col min="7427" max="7427" width="31.19921875" style="120" customWidth="1"/>
    <col min="7428" max="7428" width="45.69921875" style="120" customWidth="1"/>
    <col min="7429" max="7429" width="21.5" style="120" customWidth="1"/>
    <col min="7430" max="7438" width="9" style="120"/>
    <col min="7439" max="7439" width="9.19921875" style="120" customWidth="1"/>
    <col min="7440" max="7680" width="9" style="120"/>
    <col min="7681" max="7681" width="3.69921875" style="120" customWidth="1"/>
    <col min="7682" max="7682" width="2.19921875" style="120" customWidth="1"/>
    <col min="7683" max="7683" width="31.19921875" style="120" customWidth="1"/>
    <col min="7684" max="7684" width="45.69921875" style="120" customWidth="1"/>
    <col min="7685" max="7685" width="21.5" style="120" customWidth="1"/>
    <col min="7686" max="7694" width="9" style="120"/>
    <col min="7695" max="7695" width="9.19921875" style="120" customWidth="1"/>
    <col min="7696" max="7936" width="9" style="120"/>
    <col min="7937" max="7937" width="3.69921875" style="120" customWidth="1"/>
    <col min="7938" max="7938" width="2.19921875" style="120" customWidth="1"/>
    <col min="7939" max="7939" width="31.19921875" style="120" customWidth="1"/>
    <col min="7940" max="7940" width="45.69921875" style="120" customWidth="1"/>
    <col min="7941" max="7941" width="21.5" style="120" customWidth="1"/>
    <col min="7942" max="7950" width="9" style="120"/>
    <col min="7951" max="7951" width="9.19921875" style="120" customWidth="1"/>
    <col min="7952" max="8192" width="9" style="120"/>
    <col min="8193" max="8193" width="3.69921875" style="120" customWidth="1"/>
    <col min="8194" max="8194" width="2.19921875" style="120" customWidth="1"/>
    <col min="8195" max="8195" width="31.19921875" style="120" customWidth="1"/>
    <col min="8196" max="8196" width="45.69921875" style="120" customWidth="1"/>
    <col min="8197" max="8197" width="21.5" style="120" customWidth="1"/>
    <col min="8198" max="8206" width="9" style="120"/>
    <col min="8207" max="8207" width="9.19921875" style="120" customWidth="1"/>
    <col min="8208" max="8448" width="9" style="120"/>
    <col min="8449" max="8449" width="3.69921875" style="120" customWidth="1"/>
    <col min="8450" max="8450" width="2.19921875" style="120" customWidth="1"/>
    <col min="8451" max="8451" width="31.19921875" style="120" customWidth="1"/>
    <col min="8452" max="8452" width="45.69921875" style="120" customWidth="1"/>
    <col min="8453" max="8453" width="21.5" style="120" customWidth="1"/>
    <col min="8454" max="8462" width="9" style="120"/>
    <col min="8463" max="8463" width="9.19921875" style="120" customWidth="1"/>
    <col min="8464" max="8704" width="9" style="120"/>
    <col min="8705" max="8705" width="3.69921875" style="120" customWidth="1"/>
    <col min="8706" max="8706" width="2.19921875" style="120" customWidth="1"/>
    <col min="8707" max="8707" width="31.19921875" style="120" customWidth="1"/>
    <col min="8708" max="8708" width="45.69921875" style="120" customWidth="1"/>
    <col min="8709" max="8709" width="21.5" style="120" customWidth="1"/>
    <col min="8710" max="8718" width="9" style="120"/>
    <col min="8719" max="8719" width="9.19921875" style="120" customWidth="1"/>
    <col min="8720" max="8960" width="9" style="120"/>
    <col min="8961" max="8961" width="3.69921875" style="120" customWidth="1"/>
    <col min="8962" max="8962" width="2.19921875" style="120" customWidth="1"/>
    <col min="8963" max="8963" width="31.19921875" style="120" customWidth="1"/>
    <col min="8964" max="8964" width="45.69921875" style="120" customWidth="1"/>
    <col min="8965" max="8965" width="21.5" style="120" customWidth="1"/>
    <col min="8966" max="8974" width="9" style="120"/>
    <col min="8975" max="8975" width="9.19921875" style="120" customWidth="1"/>
    <col min="8976" max="9216" width="9" style="120"/>
    <col min="9217" max="9217" width="3.69921875" style="120" customWidth="1"/>
    <col min="9218" max="9218" width="2.19921875" style="120" customWidth="1"/>
    <col min="9219" max="9219" width="31.19921875" style="120" customWidth="1"/>
    <col min="9220" max="9220" width="45.69921875" style="120" customWidth="1"/>
    <col min="9221" max="9221" width="21.5" style="120" customWidth="1"/>
    <col min="9222" max="9230" width="9" style="120"/>
    <col min="9231" max="9231" width="9.19921875" style="120" customWidth="1"/>
    <col min="9232" max="9472" width="9" style="120"/>
    <col min="9473" max="9473" width="3.69921875" style="120" customWidth="1"/>
    <col min="9474" max="9474" width="2.19921875" style="120" customWidth="1"/>
    <col min="9475" max="9475" width="31.19921875" style="120" customWidth="1"/>
    <col min="9476" max="9476" width="45.69921875" style="120" customWidth="1"/>
    <col min="9477" max="9477" width="21.5" style="120" customWidth="1"/>
    <col min="9478" max="9486" width="9" style="120"/>
    <col min="9487" max="9487" width="9.19921875" style="120" customWidth="1"/>
    <col min="9488" max="9728" width="9" style="120"/>
    <col min="9729" max="9729" width="3.69921875" style="120" customWidth="1"/>
    <col min="9730" max="9730" width="2.19921875" style="120" customWidth="1"/>
    <col min="9731" max="9731" width="31.19921875" style="120" customWidth="1"/>
    <col min="9732" max="9732" width="45.69921875" style="120" customWidth="1"/>
    <col min="9733" max="9733" width="21.5" style="120" customWidth="1"/>
    <col min="9734" max="9742" width="9" style="120"/>
    <col min="9743" max="9743" width="9.19921875" style="120" customWidth="1"/>
    <col min="9744" max="9984" width="9" style="120"/>
    <col min="9985" max="9985" width="3.69921875" style="120" customWidth="1"/>
    <col min="9986" max="9986" width="2.19921875" style="120" customWidth="1"/>
    <col min="9987" max="9987" width="31.19921875" style="120" customWidth="1"/>
    <col min="9988" max="9988" width="45.69921875" style="120" customWidth="1"/>
    <col min="9989" max="9989" width="21.5" style="120" customWidth="1"/>
    <col min="9990" max="9998" width="9" style="120"/>
    <col min="9999" max="9999" width="9.19921875" style="120" customWidth="1"/>
    <col min="10000" max="10240" width="9" style="120"/>
    <col min="10241" max="10241" width="3.69921875" style="120" customWidth="1"/>
    <col min="10242" max="10242" width="2.19921875" style="120" customWidth="1"/>
    <col min="10243" max="10243" width="31.19921875" style="120" customWidth="1"/>
    <col min="10244" max="10244" width="45.69921875" style="120" customWidth="1"/>
    <col min="10245" max="10245" width="21.5" style="120" customWidth="1"/>
    <col min="10246" max="10254" width="9" style="120"/>
    <col min="10255" max="10255" width="9.19921875" style="120" customWidth="1"/>
    <col min="10256" max="10496" width="9" style="120"/>
    <col min="10497" max="10497" width="3.69921875" style="120" customWidth="1"/>
    <col min="10498" max="10498" width="2.19921875" style="120" customWidth="1"/>
    <col min="10499" max="10499" width="31.19921875" style="120" customWidth="1"/>
    <col min="10500" max="10500" width="45.69921875" style="120" customWidth="1"/>
    <col min="10501" max="10501" width="21.5" style="120" customWidth="1"/>
    <col min="10502" max="10510" width="9" style="120"/>
    <col min="10511" max="10511" width="9.19921875" style="120" customWidth="1"/>
    <col min="10512" max="10752" width="9" style="120"/>
    <col min="10753" max="10753" width="3.69921875" style="120" customWidth="1"/>
    <col min="10754" max="10754" width="2.19921875" style="120" customWidth="1"/>
    <col min="10755" max="10755" width="31.19921875" style="120" customWidth="1"/>
    <col min="10756" max="10756" width="45.69921875" style="120" customWidth="1"/>
    <col min="10757" max="10757" width="21.5" style="120" customWidth="1"/>
    <col min="10758" max="10766" width="9" style="120"/>
    <col min="10767" max="10767" width="9.19921875" style="120" customWidth="1"/>
    <col min="10768" max="11008" width="9" style="120"/>
    <col min="11009" max="11009" width="3.69921875" style="120" customWidth="1"/>
    <col min="11010" max="11010" width="2.19921875" style="120" customWidth="1"/>
    <col min="11011" max="11011" width="31.19921875" style="120" customWidth="1"/>
    <col min="11012" max="11012" width="45.69921875" style="120" customWidth="1"/>
    <col min="11013" max="11013" width="21.5" style="120" customWidth="1"/>
    <col min="11014" max="11022" width="9" style="120"/>
    <col min="11023" max="11023" width="9.19921875" style="120" customWidth="1"/>
    <col min="11024" max="11264" width="9" style="120"/>
    <col min="11265" max="11265" width="3.69921875" style="120" customWidth="1"/>
    <col min="11266" max="11266" width="2.19921875" style="120" customWidth="1"/>
    <col min="11267" max="11267" width="31.19921875" style="120" customWidth="1"/>
    <col min="11268" max="11268" width="45.69921875" style="120" customWidth="1"/>
    <col min="11269" max="11269" width="21.5" style="120" customWidth="1"/>
    <col min="11270" max="11278" width="9" style="120"/>
    <col min="11279" max="11279" width="9.19921875" style="120" customWidth="1"/>
    <col min="11280" max="11520" width="9" style="120"/>
    <col min="11521" max="11521" width="3.69921875" style="120" customWidth="1"/>
    <col min="11522" max="11522" width="2.19921875" style="120" customWidth="1"/>
    <col min="11523" max="11523" width="31.19921875" style="120" customWidth="1"/>
    <col min="11524" max="11524" width="45.69921875" style="120" customWidth="1"/>
    <col min="11525" max="11525" width="21.5" style="120" customWidth="1"/>
    <col min="11526" max="11534" width="9" style="120"/>
    <col min="11535" max="11535" width="9.19921875" style="120" customWidth="1"/>
    <col min="11536" max="11776" width="9" style="120"/>
    <col min="11777" max="11777" width="3.69921875" style="120" customWidth="1"/>
    <col min="11778" max="11778" width="2.19921875" style="120" customWidth="1"/>
    <col min="11779" max="11779" width="31.19921875" style="120" customWidth="1"/>
    <col min="11780" max="11780" width="45.69921875" style="120" customWidth="1"/>
    <col min="11781" max="11781" width="21.5" style="120" customWidth="1"/>
    <col min="11782" max="11790" width="9" style="120"/>
    <col min="11791" max="11791" width="9.19921875" style="120" customWidth="1"/>
    <col min="11792" max="12032" width="9" style="120"/>
    <col min="12033" max="12033" width="3.69921875" style="120" customWidth="1"/>
    <col min="12034" max="12034" width="2.19921875" style="120" customWidth="1"/>
    <col min="12035" max="12035" width="31.19921875" style="120" customWidth="1"/>
    <col min="12036" max="12036" width="45.69921875" style="120" customWidth="1"/>
    <col min="12037" max="12037" width="21.5" style="120" customWidth="1"/>
    <col min="12038" max="12046" width="9" style="120"/>
    <col min="12047" max="12047" width="9.19921875" style="120" customWidth="1"/>
    <col min="12048" max="12288" width="9" style="120"/>
    <col min="12289" max="12289" width="3.69921875" style="120" customWidth="1"/>
    <col min="12290" max="12290" width="2.19921875" style="120" customWidth="1"/>
    <col min="12291" max="12291" width="31.19921875" style="120" customWidth="1"/>
    <col min="12292" max="12292" width="45.69921875" style="120" customWidth="1"/>
    <col min="12293" max="12293" width="21.5" style="120" customWidth="1"/>
    <col min="12294" max="12302" width="9" style="120"/>
    <col min="12303" max="12303" width="9.19921875" style="120" customWidth="1"/>
    <col min="12304" max="12544" width="9" style="120"/>
    <col min="12545" max="12545" width="3.69921875" style="120" customWidth="1"/>
    <col min="12546" max="12546" width="2.19921875" style="120" customWidth="1"/>
    <col min="12547" max="12547" width="31.19921875" style="120" customWidth="1"/>
    <col min="12548" max="12548" width="45.69921875" style="120" customWidth="1"/>
    <col min="12549" max="12549" width="21.5" style="120" customWidth="1"/>
    <col min="12550" max="12558" width="9" style="120"/>
    <col min="12559" max="12559" width="9.19921875" style="120" customWidth="1"/>
    <col min="12560" max="12800" width="9" style="120"/>
    <col min="12801" max="12801" width="3.69921875" style="120" customWidth="1"/>
    <col min="12802" max="12802" width="2.19921875" style="120" customWidth="1"/>
    <col min="12803" max="12803" width="31.19921875" style="120" customWidth="1"/>
    <col min="12804" max="12804" width="45.69921875" style="120" customWidth="1"/>
    <col min="12805" max="12805" width="21.5" style="120" customWidth="1"/>
    <col min="12806" max="12814" width="9" style="120"/>
    <col min="12815" max="12815" width="9.19921875" style="120" customWidth="1"/>
    <col min="12816" max="13056" width="9" style="120"/>
    <col min="13057" max="13057" width="3.69921875" style="120" customWidth="1"/>
    <col min="13058" max="13058" width="2.19921875" style="120" customWidth="1"/>
    <col min="13059" max="13059" width="31.19921875" style="120" customWidth="1"/>
    <col min="13060" max="13060" width="45.69921875" style="120" customWidth="1"/>
    <col min="13061" max="13061" width="21.5" style="120" customWidth="1"/>
    <col min="13062" max="13070" width="9" style="120"/>
    <col min="13071" max="13071" width="9.19921875" style="120" customWidth="1"/>
    <col min="13072" max="13312" width="9" style="120"/>
    <col min="13313" max="13313" width="3.69921875" style="120" customWidth="1"/>
    <col min="13314" max="13314" width="2.19921875" style="120" customWidth="1"/>
    <col min="13315" max="13315" width="31.19921875" style="120" customWidth="1"/>
    <col min="13316" max="13316" width="45.69921875" style="120" customWidth="1"/>
    <col min="13317" max="13317" width="21.5" style="120" customWidth="1"/>
    <col min="13318" max="13326" width="9" style="120"/>
    <col min="13327" max="13327" width="9.19921875" style="120" customWidth="1"/>
    <col min="13328" max="13568" width="9" style="120"/>
    <col min="13569" max="13569" width="3.69921875" style="120" customWidth="1"/>
    <col min="13570" max="13570" width="2.19921875" style="120" customWidth="1"/>
    <col min="13571" max="13571" width="31.19921875" style="120" customWidth="1"/>
    <col min="13572" max="13572" width="45.69921875" style="120" customWidth="1"/>
    <col min="13573" max="13573" width="21.5" style="120" customWidth="1"/>
    <col min="13574" max="13582" width="9" style="120"/>
    <col min="13583" max="13583" width="9.19921875" style="120" customWidth="1"/>
    <col min="13584" max="13824" width="9" style="120"/>
    <col min="13825" max="13825" width="3.69921875" style="120" customWidth="1"/>
    <col min="13826" max="13826" width="2.19921875" style="120" customWidth="1"/>
    <col min="13827" max="13827" width="31.19921875" style="120" customWidth="1"/>
    <col min="13828" max="13828" width="45.69921875" style="120" customWidth="1"/>
    <col min="13829" max="13829" width="21.5" style="120" customWidth="1"/>
    <col min="13830" max="13838" width="9" style="120"/>
    <col min="13839" max="13839" width="9.19921875" style="120" customWidth="1"/>
    <col min="13840" max="14080" width="9" style="120"/>
    <col min="14081" max="14081" width="3.69921875" style="120" customWidth="1"/>
    <col min="14082" max="14082" width="2.19921875" style="120" customWidth="1"/>
    <col min="14083" max="14083" width="31.19921875" style="120" customWidth="1"/>
    <col min="14084" max="14084" width="45.69921875" style="120" customWidth="1"/>
    <col min="14085" max="14085" width="21.5" style="120" customWidth="1"/>
    <col min="14086" max="14094" width="9" style="120"/>
    <col min="14095" max="14095" width="9.19921875" style="120" customWidth="1"/>
    <col min="14096" max="14336" width="9" style="120"/>
    <col min="14337" max="14337" width="3.69921875" style="120" customWidth="1"/>
    <col min="14338" max="14338" width="2.19921875" style="120" customWidth="1"/>
    <col min="14339" max="14339" width="31.19921875" style="120" customWidth="1"/>
    <col min="14340" max="14340" width="45.69921875" style="120" customWidth="1"/>
    <col min="14341" max="14341" width="21.5" style="120" customWidth="1"/>
    <col min="14342" max="14350" width="9" style="120"/>
    <col min="14351" max="14351" width="9.19921875" style="120" customWidth="1"/>
    <col min="14352" max="14592" width="9" style="120"/>
    <col min="14593" max="14593" width="3.69921875" style="120" customWidth="1"/>
    <col min="14594" max="14594" width="2.19921875" style="120" customWidth="1"/>
    <col min="14595" max="14595" width="31.19921875" style="120" customWidth="1"/>
    <col min="14596" max="14596" width="45.69921875" style="120" customWidth="1"/>
    <col min="14597" max="14597" width="21.5" style="120" customWidth="1"/>
    <col min="14598" max="14606" width="9" style="120"/>
    <col min="14607" max="14607" width="9.19921875" style="120" customWidth="1"/>
    <col min="14608" max="14848" width="9" style="120"/>
    <col min="14849" max="14849" width="3.69921875" style="120" customWidth="1"/>
    <col min="14850" max="14850" width="2.19921875" style="120" customWidth="1"/>
    <col min="14851" max="14851" width="31.19921875" style="120" customWidth="1"/>
    <col min="14852" max="14852" width="45.69921875" style="120" customWidth="1"/>
    <col min="14853" max="14853" width="21.5" style="120" customWidth="1"/>
    <col min="14854" max="14862" width="9" style="120"/>
    <col min="14863" max="14863" width="9.19921875" style="120" customWidth="1"/>
    <col min="14864" max="15104" width="9" style="120"/>
    <col min="15105" max="15105" width="3.69921875" style="120" customWidth="1"/>
    <col min="15106" max="15106" width="2.19921875" style="120" customWidth="1"/>
    <col min="15107" max="15107" width="31.19921875" style="120" customWidth="1"/>
    <col min="15108" max="15108" width="45.69921875" style="120" customWidth="1"/>
    <col min="15109" max="15109" width="21.5" style="120" customWidth="1"/>
    <col min="15110" max="15118" width="9" style="120"/>
    <col min="15119" max="15119" width="9.19921875" style="120" customWidth="1"/>
    <col min="15120" max="15360" width="9" style="120"/>
    <col min="15361" max="15361" width="3.69921875" style="120" customWidth="1"/>
    <col min="15362" max="15362" width="2.19921875" style="120" customWidth="1"/>
    <col min="15363" max="15363" width="31.19921875" style="120" customWidth="1"/>
    <col min="15364" max="15364" width="45.69921875" style="120" customWidth="1"/>
    <col min="15365" max="15365" width="21.5" style="120" customWidth="1"/>
    <col min="15366" max="15374" width="9" style="120"/>
    <col min="15375" max="15375" width="9.19921875" style="120" customWidth="1"/>
    <col min="15376" max="15616" width="9" style="120"/>
    <col min="15617" max="15617" width="3.69921875" style="120" customWidth="1"/>
    <col min="15618" max="15618" width="2.19921875" style="120" customWidth="1"/>
    <col min="15619" max="15619" width="31.19921875" style="120" customWidth="1"/>
    <col min="15620" max="15620" width="45.69921875" style="120" customWidth="1"/>
    <col min="15621" max="15621" width="21.5" style="120" customWidth="1"/>
    <col min="15622" max="15630" width="9" style="120"/>
    <col min="15631" max="15631" width="9.19921875" style="120" customWidth="1"/>
    <col min="15632" max="15872" width="9" style="120"/>
    <col min="15873" max="15873" width="3.69921875" style="120" customWidth="1"/>
    <col min="15874" max="15874" width="2.19921875" style="120" customWidth="1"/>
    <col min="15875" max="15875" width="31.19921875" style="120" customWidth="1"/>
    <col min="15876" max="15876" width="45.69921875" style="120" customWidth="1"/>
    <col min="15877" max="15877" width="21.5" style="120" customWidth="1"/>
    <col min="15878" max="15886" width="9" style="120"/>
    <col min="15887" max="15887" width="9.19921875" style="120" customWidth="1"/>
    <col min="15888" max="16128" width="9" style="120"/>
    <col min="16129" max="16129" width="3.69921875" style="120" customWidth="1"/>
    <col min="16130" max="16130" width="2.19921875" style="120" customWidth="1"/>
    <col min="16131" max="16131" width="31.19921875" style="120" customWidth="1"/>
    <col min="16132" max="16132" width="45.69921875" style="120" customWidth="1"/>
    <col min="16133" max="16133" width="21.5" style="120" customWidth="1"/>
    <col min="16134" max="16142" width="9" style="120"/>
    <col min="16143" max="16143" width="9.19921875" style="120" customWidth="1"/>
    <col min="16144" max="16384" width="9" style="120"/>
  </cols>
  <sheetData>
    <row r="1" spans="2:83" ht="20.100000000000001" customHeight="1" thickBot="1"/>
    <row r="2" spans="2:83" ht="20.100000000000001" customHeight="1" thickBot="1">
      <c r="B2" s="121"/>
      <c r="C2" s="122" t="s">
        <v>344</v>
      </c>
      <c r="D2" s="123"/>
      <c r="E2" s="123"/>
      <c r="F2" s="123"/>
      <c r="G2" s="60"/>
      <c r="H2" s="123"/>
      <c r="I2" s="123"/>
      <c r="J2" s="123"/>
      <c r="K2" s="123"/>
      <c r="L2" s="123" t="str">
        <f>'SP11-1'!L2</f>
        <v>Spreadsheet released 14-Apr-2023</v>
      </c>
      <c r="M2" s="123"/>
      <c r="N2" s="123"/>
      <c r="O2" s="123"/>
      <c r="P2" s="123"/>
      <c r="Q2" s="123"/>
      <c r="R2" s="123"/>
      <c r="S2" s="124"/>
    </row>
    <row r="3" spans="2:83" ht="10.050000000000001" customHeight="1"/>
    <row r="4" spans="2:83" ht="20.100000000000001" customHeight="1">
      <c r="C4" s="125" t="s">
        <v>345</v>
      </c>
      <c r="D4" s="126"/>
      <c r="E4" s="126"/>
      <c r="F4" s="126"/>
      <c r="G4" s="126"/>
      <c r="H4" s="126"/>
      <c r="I4" s="126"/>
      <c r="J4" s="126"/>
      <c r="K4" s="126"/>
      <c r="L4" s="126"/>
      <c r="M4" s="126"/>
      <c r="N4" s="126"/>
      <c r="O4" s="126"/>
      <c r="P4" s="126"/>
      <c r="Q4" s="126"/>
      <c r="R4" s="126"/>
      <c r="S4" s="126"/>
    </row>
    <row r="5" spans="2:83" ht="20.100000000000001" customHeight="1">
      <c r="C5" s="127" t="s">
        <v>346</v>
      </c>
      <c r="D5" s="128"/>
      <c r="E5" s="129"/>
      <c r="F5" s="129"/>
      <c r="G5" s="129"/>
      <c r="H5" s="129"/>
      <c r="I5" s="129"/>
      <c r="J5" s="129"/>
      <c r="K5" s="129"/>
      <c r="L5" s="129"/>
      <c r="M5" s="129"/>
      <c r="N5" s="129"/>
      <c r="O5" s="129"/>
    </row>
    <row r="6" spans="2:83" ht="20.100000000000001" customHeight="1">
      <c r="C6" s="130" t="s">
        <v>347</v>
      </c>
      <c r="D6" s="131"/>
      <c r="E6" s="132"/>
      <c r="F6" s="132"/>
      <c r="G6" s="132"/>
      <c r="H6" s="132"/>
      <c r="I6" s="132"/>
      <c r="J6" s="133"/>
      <c r="K6" s="133"/>
      <c r="L6" s="133"/>
      <c r="M6" s="133"/>
      <c r="N6" s="133"/>
      <c r="O6" s="129"/>
    </row>
    <row r="7" spans="2:83" ht="20.100000000000001" customHeight="1">
      <c r="C7" s="130" t="s">
        <v>348</v>
      </c>
      <c r="D7" s="134"/>
      <c r="E7" s="135"/>
      <c r="F7" s="135"/>
      <c r="G7" s="135"/>
      <c r="H7" s="135"/>
      <c r="I7" s="135"/>
      <c r="J7" s="136"/>
      <c r="K7" s="136"/>
      <c r="L7" s="136"/>
      <c r="M7" s="136"/>
      <c r="N7" s="136"/>
      <c r="O7" s="129"/>
    </row>
    <row r="8" spans="2:83" ht="20.100000000000001" customHeight="1">
      <c r="C8" s="130" t="s">
        <v>349</v>
      </c>
      <c r="D8" s="134"/>
      <c r="E8" s="135"/>
      <c r="F8" s="135"/>
      <c r="G8" s="135"/>
      <c r="H8" s="135"/>
      <c r="I8" s="135"/>
      <c r="J8" s="136"/>
      <c r="K8" s="136"/>
      <c r="L8" s="136"/>
      <c r="M8" s="136"/>
      <c r="N8" s="136"/>
      <c r="O8" s="129"/>
    </row>
    <row r="9" spans="2:83" ht="20.100000000000001" customHeight="1">
      <c r="C9" s="130" t="s">
        <v>350</v>
      </c>
      <c r="D9" s="134"/>
      <c r="E9" s="135"/>
      <c r="F9" s="135"/>
      <c r="G9" s="135"/>
      <c r="H9" s="135"/>
      <c r="I9" s="135"/>
      <c r="J9" s="136"/>
      <c r="K9" s="136"/>
      <c r="L9" s="136"/>
      <c r="M9" s="136"/>
      <c r="N9" s="136"/>
      <c r="O9" s="129"/>
    </row>
    <row r="10" spans="2:83" ht="20.100000000000001" customHeight="1">
      <c r="C10" s="130" t="s">
        <v>351</v>
      </c>
      <c r="D10" s="137"/>
      <c r="E10" s="135"/>
      <c r="F10" s="135"/>
      <c r="G10" s="135"/>
      <c r="H10" s="135"/>
      <c r="I10" s="135"/>
      <c r="J10" s="136"/>
      <c r="K10" s="136"/>
      <c r="L10" s="136"/>
      <c r="M10" s="136"/>
      <c r="N10" s="136"/>
      <c r="O10" s="129"/>
    </row>
    <row r="11" spans="2:83" ht="20.100000000000001" customHeight="1">
      <c r="C11" s="566" t="s">
        <v>352</v>
      </c>
      <c r="D11" s="566"/>
      <c r="E11" s="135"/>
      <c r="F11" s="135"/>
      <c r="G11" s="135"/>
      <c r="H11" s="135"/>
      <c r="I11" s="135"/>
      <c r="J11" s="136"/>
      <c r="K11" s="136"/>
      <c r="L11" s="136"/>
      <c r="M11" s="136"/>
      <c r="N11" s="136"/>
      <c r="O11" s="129"/>
      <c r="CE11" s="138"/>
    </row>
    <row r="12" spans="2:83" ht="20.100000000000001" customHeight="1">
      <c r="B12" s="139"/>
      <c r="C12" s="567" t="s">
        <v>353</v>
      </c>
      <c r="D12" s="567"/>
      <c r="E12" s="135"/>
      <c r="F12" s="135"/>
      <c r="G12" s="135"/>
      <c r="H12" s="135"/>
      <c r="I12" s="135"/>
      <c r="J12" s="136"/>
      <c r="K12" s="136"/>
      <c r="L12" s="136"/>
      <c r="M12" s="136"/>
      <c r="N12" s="136"/>
      <c r="O12" s="129"/>
      <c r="CE12" s="138" t="s">
        <v>354</v>
      </c>
    </row>
    <row r="13" spans="2:83" ht="20.100000000000001" customHeight="1">
      <c r="E13" s="140"/>
      <c r="F13" s="140"/>
      <c r="G13" s="140"/>
      <c r="H13" s="140"/>
      <c r="I13" s="140"/>
      <c r="J13" s="139"/>
      <c r="K13" s="139"/>
      <c r="L13" s="139"/>
      <c r="M13" s="139"/>
      <c r="CE13" s="138" t="s">
        <v>355</v>
      </c>
    </row>
    <row r="14" spans="2:83" ht="20.100000000000001" customHeight="1" thickBot="1">
      <c r="C14" s="141" t="s">
        <v>356</v>
      </c>
      <c r="E14" s="142"/>
      <c r="F14" s="142"/>
      <c r="G14" s="142"/>
      <c r="H14" s="142"/>
      <c r="I14" s="142"/>
      <c r="J14" s="143"/>
      <c r="K14" s="143"/>
      <c r="L14" s="143"/>
      <c r="M14" s="143"/>
      <c r="CE14" s="138" t="s">
        <v>357</v>
      </c>
    </row>
    <row r="15" spans="2:83" s="137" customFormat="1" ht="20.100000000000001" customHeight="1" thickTop="1" thickBot="1">
      <c r="C15" s="130" t="s">
        <v>358</v>
      </c>
      <c r="D15" s="135"/>
      <c r="E15" s="144"/>
      <c r="F15" s="120"/>
      <c r="G15" s="120"/>
      <c r="H15" s="568"/>
      <c r="I15" s="569"/>
      <c r="J15" s="145"/>
      <c r="K15" s="145"/>
      <c r="L15" s="145"/>
      <c r="M15" s="145"/>
      <c r="N15" s="120"/>
      <c r="O15" s="120"/>
      <c r="P15" s="120"/>
      <c r="Q15" s="120"/>
      <c r="R15" s="120"/>
      <c r="S15" s="120"/>
      <c r="CD15" s="138" t="s">
        <v>359</v>
      </c>
    </row>
    <row r="16" spans="2:83" ht="20.100000000000001" customHeight="1" thickTop="1">
      <c r="C16" s="130" t="s">
        <v>360</v>
      </c>
      <c r="F16" s="137"/>
      <c r="G16" s="137"/>
      <c r="H16" s="570"/>
      <c r="I16" s="570"/>
      <c r="J16" s="137"/>
      <c r="K16" s="137"/>
      <c r="L16" s="137"/>
      <c r="M16" s="137"/>
      <c r="N16" s="137"/>
      <c r="O16" s="137"/>
      <c r="P16" s="137"/>
      <c r="Q16" s="137"/>
      <c r="R16" s="137"/>
      <c r="S16" s="137"/>
      <c r="CB16" s="138" t="s">
        <v>361</v>
      </c>
    </row>
    <row r="17" spans="3:83" ht="20.100000000000001" customHeight="1">
      <c r="C17" s="146" t="s">
        <v>362</v>
      </c>
      <c r="D17" s="142"/>
      <c r="H17" s="147"/>
      <c r="I17" s="148"/>
      <c r="CE17" s="138" t="s">
        <v>363</v>
      </c>
    </row>
    <row r="18" spans="3:83" ht="15" customHeight="1">
      <c r="C18" s="149"/>
      <c r="D18" s="142"/>
      <c r="CE18" s="138" t="s">
        <v>364</v>
      </c>
    </row>
    <row r="19" spans="3:83" ht="5.0999999999999996" customHeight="1">
      <c r="D19" s="144"/>
      <c r="CE19" s="138" t="s">
        <v>365</v>
      </c>
    </row>
    <row r="20" spans="3:83" ht="20.100000000000001" customHeight="1">
      <c r="C20" s="150" t="s">
        <v>366</v>
      </c>
      <c r="D20" s="151"/>
      <c r="E20" s="152"/>
      <c r="F20" s="152"/>
      <c r="G20" s="152"/>
      <c r="H20" s="152"/>
      <c r="I20" s="152"/>
      <c r="J20" s="152"/>
      <c r="K20" s="152"/>
      <c r="L20" s="152"/>
      <c r="M20" s="152"/>
      <c r="N20" s="152"/>
      <c r="O20" s="152"/>
      <c r="P20" s="152"/>
      <c r="Q20" s="152"/>
      <c r="R20" s="152"/>
      <c r="S20" s="152"/>
      <c r="CE20" s="138" t="s">
        <v>367</v>
      </c>
    </row>
    <row r="21" spans="3:83" ht="20.100000000000001" customHeight="1">
      <c r="C21" s="153"/>
      <c r="D21" s="154" t="s">
        <v>368</v>
      </c>
      <c r="CE21" s="138" t="s">
        <v>369</v>
      </c>
    </row>
    <row r="22" spans="3:83" ht="5.0999999999999996" customHeight="1">
      <c r="CE22" s="138" t="s">
        <v>370</v>
      </c>
    </row>
    <row r="23" spans="3:83" ht="20.100000000000001" customHeight="1">
      <c r="C23" s="474" t="s">
        <v>910</v>
      </c>
      <c r="D23" s="137" t="s">
        <v>371</v>
      </c>
      <c r="E23" s="137"/>
      <c r="F23" s="137"/>
      <c r="G23" s="137"/>
      <c r="H23" s="137"/>
      <c r="I23" s="137"/>
      <c r="J23" s="137"/>
      <c r="K23" s="137"/>
      <c r="L23" s="137"/>
      <c r="M23" s="137"/>
      <c r="N23" s="137"/>
      <c r="O23" s="137"/>
      <c r="CE23" s="138" t="s">
        <v>372</v>
      </c>
    </row>
    <row r="24" spans="3:83" ht="5.0999999999999996" customHeight="1">
      <c r="D24" s="137" t="s">
        <v>373</v>
      </c>
      <c r="E24" s="137"/>
      <c r="F24" s="137"/>
      <c r="G24" s="137"/>
      <c r="H24" s="137"/>
      <c r="I24" s="137"/>
      <c r="J24" s="137"/>
      <c r="K24" s="137"/>
      <c r="L24" s="137"/>
      <c r="M24" s="137"/>
      <c r="N24" s="137"/>
      <c r="O24" s="137"/>
      <c r="CE24" s="138" t="s">
        <v>374</v>
      </c>
    </row>
    <row r="25" spans="3:83" ht="20.100000000000001" customHeight="1">
      <c r="C25" s="474" t="s">
        <v>911</v>
      </c>
      <c r="D25" s="137" t="s">
        <v>375</v>
      </c>
      <c r="E25" s="137"/>
      <c r="F25" s="137"/>
      <c r="G25" s="137"/>
      <c r="H25" s="137"/>
      <c r="I25" s="137"/>
      <c r="J25" s="137"/>
      <c r="K25" s="137"/>
      <c r="L25" s="137"/>
      <c r="M25" s="137"/>
      <c r="N25" s="137"/>
      <c r="O25" s="137"/>
      <c r="CE25" s="138" t="s">
        <v>376</v>
      </c>
    </row>
    <row r="26" spans="3:83" ht="5.0999999999999996" customHeight="1">
      <c r="D26" s="137"/>
      <c r="E26" s="137"/>
      <c r="F26" s="137"/>
      <c r="G26" s="137"/>
      <c r="H26" s="137"/>
      <c r="I26" s="137"/>
      <c r="J26" s="137"/>
      <c r="K26" s="137"/>
      <c r="L26" s="137"/>
      <c r="M26" s="137"/>
      <c r="N26" s="137"/>
      <c r="O26" s="137"/>
      <c r="CE26" s="155"/>
    </row>
    <row r="27" spans="3:83" ht="20.100000000000001" customHeight="1">
      <c r="C27" s="474" t="s">
        <v>912</v>
      </c>
      <c r="D27" s="137" t="s">
        <v>377</v>
      </c>
      <c r="E27" s="137"/>
      <c r="F27" s="137"/>
      <c r="G27" s="137"/>
      <c r="H27" s="137"/>
      <c r="I27" s="137"/>
      <c r="J27" s="137"/>
      <c r="K27" s="137"/>
      <c r="L27" s="137"/>
      <c r="M27" s="137"/>
      <c r="N27" s="137"/>
      <c r="O27" s="137"/>
    </row>
    <row r="28" spans="3:83" ht="5.0999999999999996" customHeight="1">
      <c r="D28" s="137" t="s">
        <v>373</v>
      </c>
      <c r="E28" s="137"/>
      <c r="F28" s="137"/>
      <c r="G28" s="137"/>
      <c r="H28" s="137"/>
      <c r="I28" s="137"/>
      <c r="J28" s="137"/>
      <c r="K28" s="137"/>
      <c r="L28" s="137"/>
      <c r="M28" s="137"/>
      <c r="N28" s="137"/>
      <c r="O28" s="137"/>
    </row>
    <row r="29" spans="3:83" ht="20.100000000000001" customHeight="1">
      <c r="C29" s="474" t="s">
        <v>913</v>
      </c>
      <c r="D29" s="137" t="s">
        <v>378</v>
      </c>
      <c r="E29" s="137"/>
      <c r="F29" s="137"/>
      <c r="G29" s="137"/>
      <c r="H29" s="137"/>
      <c r="I29" s="137"/>
      <c r="J29" s="137"/>
      <c r="K29" s="137"/>
      <c r="L29" s="137"/>
      <c r="M29" s="137"/>
      <c r="N29" s="137"/>
      <c r="O29" s="137"/>
    </row>
    <row r="30" spans="3:83" ht="5.0999999999999996" customHeight="1">
      <c r="D30" s="137"/>
      <c r="E30" s="137"/>
      <c r="F30" s="137"/>
      <c r="G30" s="137"/>
      <c r="H30" s="137"/>
      <c r="I30" s="137"/>
      <c r="J30" s="137"/>
      <c r="K30" s="137"/>
      <c r="L30" s="137"/>
      <c r="M30" s="137"/>
      <c r="N30" s="137"/>
      <c r="O30" s="137"/>
    </row>
    <row r="31" spans="3:83" ht="20.100000000000001" customHeight="1">
      <c r="C31" s="474" t="s">
        <v>914</v>
      </c>
      <c r="D31" s="137" t="s">
        <v>379</v>
      </c>
      <c r="E31" s="137"/>
      <c r="F31" s="137"/>
      <c r="G31" s="137"/>
      <c r="H31" s="137"/>
      <c r="I31" s="137"/>
      <c r="J31" s="137"/>
      <c r="K31" s="137"/>
      <c r="L31" s="137"/>
      <c r="M31" s="137"/>
      <c r="N31" s="137"/>
      <c r="O31" s="137"/>
    </row>
    <row r="32" spans="3:83" ht="5.0999999999999996" customHeight="1">
      <c r="D32" s="137"/>
      <c r="E32" s="137"/>
      <c r="F32" s="137"/>
      <c r="G32" s="137"/>
      <c r="H32" s="137"/>
      <c r="I32" s="137"/>
      <c r="J32" s="137"/>
      <c r="K32" s="137"/>
      <c r="L32" s="137"/>
      <c r="M32" s="137"/>
      <c r="N32" s="137"/>
      <c r="O32" s="137"/>
    </row>
    <row r="33" spans="3:15" ht="20.100000000000001" customHeight="1">
      <c r="C33" s="474" t="s">
        <v>915</v>
      </c>
      <c r="D33" s="137" t="s">
        <v>380</v>
      </c>
      <c r="E33" s="137"/>
      <c r="F33" s="137"/>
      <c r="G33" s="137"/>
      <c r="H33" s="137"/>
      <c r="I33" s="137"/>
      <c r="J33" s="137"/>
      <c r="K33" s="137"/>
      <c r="L33" s="137"/>
      <c r="M33" s="137"/>
      <c r="N33" s="137"/>
      <c r="O33" s="137"/>
    </row>
    <row r="34" spans="3:15" ht="5.0999999999999996" customHeight="1">
      <c r="D34" s="137"/>
      <c r="E34" s="137"/>
      <c r="F34" s="137"/>
      <c r="G34" s="137"/>
      <c r="H34" s="137"/>
      <c r="I34" s="137"/>
      <c r="J34" s="137"/>
      <c r="K34" s="137"/>
      <c r="L34" s="137"/>
      <c r="M34" s="137"/>
      <c r="N34" s="137"/>
      <c r="O34" s="137"/>
    </row>
    <row r="35" spans="3:15" ht="20.100000000000001" customHeight="1">
      <c r="C35" s="474" t="s">
        <v>916</v>
      </c>
      <c r="D35" s="137" t="s">
        <v>381</v>
      </c>
      <c r="E35" s="137"/>
      <c r="F35" s="137"/>
      <c r="G35" s="137"/>
      <c r="H35" s="137"/>
      <c r="I35" s="137"/>
      <c r="J35" s="137"/>
      <c r="K35" s="137"/>
      <c r="L35" s="137"/>
      <c r="M35" s="137"/>
      <c r="N35" s="137"/>
      <c r="O35" s="137"/>
    </row>
    <row r="36" spans="3:15" ht="5.0999999999999996" customHeight="1">
      <c r="D36" s="137"/>
      <c r="E36" s="137"/>
      <c r="F36" s="137"/>
      <c r="G36" s="137"/>
      <c r="H36" s="137"/>
      <c r="I36" s="137"/>
      <c r="J36" s="137"/>
      <c r="K36" s="137"/>
      <c r="L36" s="137"/>
      <c r="M36" s="137"/>
      <c r="N36" s="137"/>
      <c r="O36" s="137"/>
    </row>
    <row r="37" spans="3:15" ht="20.100000000000001" customHeight="1">
      <c r="C37" s="487" t="s">
        <v>917</v>
      </c>
      <c r="D37" s="564" t="s">
        <v>382</v>
      </c>
      <c r="E37" s="565"/>
      <c r="F37" s="565"/>
      <c r="G37" s="565"/>
      <c r="H37" s="565"/>
      <c r="I37" s="565"/>
      <c r="J37" s="565"/>
      <c r="K37" s="565"/>
      <c r="L37" s="565"/>
      <c r="M37" s="565"/>
      <c r="N37" s="565"/>
      <c r="O37" s="565"/>
    </row>
    <row r="38" spans="3:15" ht="5.0999999999999996" customHeight="1">
      <c r="C38" s="488"/>
      <c r="D38" s="156"/>
      <c r="E38" s="156"/>
      <c r="F38" s="156"/>
      <c r="G38" s="156"/>
      <c r="H38" s="156"/>
      <c r="I38" s="156"/>
      <c r="J38" s="156"/>
      <c r="K38" s="156"/>
      <c r="L38" s="156"/>
      <c r="M38" s="156"/>
      <c r="N38" s="156"/>
      <c r="O38" s="156"/>
    </row>
    <row r="39" spans="3:15" ht="20.100000000000001" customHeight="1">
      <c r="C39" s="487" t="s">
        <v>918</v>
      </c>
      <c r="D39" s="564" t="s">
        <v>383</v>
      </c>
      <c r="E39" s="565"/>
      <c r="F39" s="565"/>
      <c r="G39" s="565"/>
      <c r="H39" s="565"/>
      <c r="I39" s="565"/>
      <c r="J39" s="565"/>
      <c r="K39" s="565"/>
      <c r="L39" s="565"/>
      <c r="M39" s="565"/>
      <c r="N39" s="565"/>
      <c r="O39" s="565"/>
    </row>
    <row r="40" spans="3:15" ht="5.0999999999999996" customHeight="1">
      <c r="C40" s="489"/>
      <c r="D40" s="137"/>
      <c r="E40" s="137"/>
      <c r="F40" s="137"/>
      <c r="G40" s="137"/>
      <c r="H40" s="137"/>
      <c r="I40" s="137"/>
      <c r="J40" s="137"/>
      <c r="K40" s="137"/>
      <c r="L40" s="137"/>
      <c r="M40" s="137"/>
      <c r="N40" s="137"/>
      <c r="O40" s="137"/>
    </row>
    <row r="41" spans="3:15" ht="20.100000000000001" customHeight="1">
      <c r="C41" s="487" t="s">
        <v>919</v>
      </c>
      <c r="D41" s="564" t="s">
        <v>384</v>
      </c>
      <c r="E41" s="565"/>
      <c r="F41" s="565"/>
      <c r="G41" s="565"/>
      <c r="H41" s="565"/>
      <c r="I41" s="565"/>
      <c r="J41" s="565"/>
      <c r="K41" s="565"/>
      <c r="L41" s="565"/>
      <c r="M41" s="565"/>
      <c r="N41" s="565"/>
      <c r="O41" s="565"/>
    </row>
    <row r="42" spans="3:15" ht="12.75" customHeight="1"/>
    <row r="43" spans="3:15" ht="12.75" customHeight="1"/>
    <row r="44" spans="3:15" ht="12.75" customHeight="1"/>
    <row r="45" spans="3:15" ht="12.75" customHeight="1">
      <c r="C45" s="58" t="s">
        <v>385</v>
      </c>
      <c r="D45" s="58" t="s">
        <v>386</v>
      </c>
      <c r="E45" s="58"/>
    </row>
    <row r="46" spans="3:15">
      <c r="C46" s="56"/>
      <c r="D46" s="58" t="s">
        <v>387</v>
      </c>
      <c r="E46" s="58"/>
    </row>
    <row r="47" spans="3:15">
      <c r="C47" s="56"/>
      <c r="D47" s="58" t="s">
        <v>388</v>
      </c>
      <c r="E47" s="58"/>
    </row>
    <row r="48" spans="3:15">
      <c r="C48" s="56"/>
      <c r="D48" s="58" t="s">
        <v>389</v>
      </c>
      <c r="E48" s="58"/>
    </row>
    <row r="49" spans="3:5">
      <c r="C49" s="56"/>
      <c r="D49" s="58" t="s">
        <v>390</v>
      </c>
      <c r="E49" s="58"/>
    </row>
    <row r="50" spans="3:5">
      <c r="C50" s="56"/>
      <c r="D50" s="58" t="s">
        <v>391</v>
      </c>
      <c r="E50" s="58"/>
    </row>
    <row r="51" spans="3:5">
      <c r="C51" s="56"/>
      <c r="E51" s="57"/>
    </row>
    <row r="52" spans="3:5">
      <c r="C52" s="56"/>
      <c r="D52" s="56" t="s">
        <v>970</v>
      </c>
      <c r="E52" s="56"/>
    </row>
    <row r="53" spans="3:5" ht="13.2">
      <c r="D53" s="157"/>
    </row>
  </sheetData>
  <sheetProtection algorithmName="SHA-512" hashValue="qNbExhJwF+d/j465Ddl4El4bOfd1NOkWPUEHhAxdSO7y7RbW+8cFiEdXo3gn/7BlxZd8eh4V+F7RCzGLXY4eJQ==" saltValue="pmE0hXWG5+GPnI1mI/W1IA==" spinCount="100000" sheet="1" selectLockedCells="1"/>
  <mergeCells count="7">
    <mergeCell ref="D41:O41"/>
    <mergeCell ref="C11:D11"/>
    <mergeCell ref="C12:D12"/>
    <mergeCell ref="H15:I15"/>
    <mergeCell ref="H16:I16"/>
    <mergeCell ref="D37:O37"/>
    <mergeCell ref="D39:O39"/>
  </mergeCells>
  <hyperlinks>
    <hyperlink ref="C12" r:id="rId1" display="for more information please refer to section 3.3 of Economic Evaluation Manual." xr:uid="{9E90A372-C520-4A62-B3D8-45049C4E3606}"/>
    <hyperlink ref="C12:D12" r:id="rId2" display="For more information please refer to section 4.1 of Monetised Benefits and Costs Manual." xr:uid="{C8246BA6-CE4B-4D1B-8E09-5D7E6EBFAD57}"/>
  </hyperlinks>
  <pageMargins left="0.25" right="0.25" top="0.75" bottom="0.75" header="0.3" footer="0.3"/>
  <pageSetup paperSize="8" orientation="landscap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AF7AA-CF30-4825-A4BD-3D528C481580}">
  <sheetPr>
    <pageSetUpPr fitToPage="1"/>
  </sheetPr>
  <dimension ref="A1:AC123"/>
  <sheetViews>
    <sheetView topLeftCell="A19" zoomScaleNormal="100" workbookViewId="0">
      <selection activeCell="I28" sqref="I28:N28"/>
    </sheetView>
  </sheetViews>
  <sheetFormatPr defaultColWidth="7.69921875" defaultRowHeight="12.6"/>
  <cols>
    <col min="1" max="1" width="3.69921875" style="62" customWidth="1"/>
    <col min="2" max="2" width="10.5" style="61" customWidth="1"/>
    <col min="3" max="3" width="10" style="61" customWidth="1"/>
    <col min="4" max="4" width="6" style="61" customWidth="1"/>
    <col min="5" max="5" width="7.296875" style="61" customWidth="1"/>
    <col min="6" max="7" width="4.796875" style="61" customWidth="1"/>
    <col min="8" max="8" width="10" style="61" customWidth="1"/>
    <col min="9" max="9" width="7" style="61" customWidth="1"/>
    <col min="10" max="10" width="3.796875" style="61" customWidth="1"/>
    <col min="11" max="11" width="10.19921875" style="61" customWidth="1"/>
    <col min="12" max="12" width="7.69921875" style="61" customWidth="1"/>
    <col min="13" max="14" width="8.69921875" style="61" customWidth="1"/>
    <col min="15" max="15" width="15.19921875" style="61" customWidth="1"/>
    <col min="16" max="16" width="13.69921875" style="61" customWidth="1"/>
    <col min="17" max="17" width="26.69921875" style="61" customWidth="1"/>
    <col min="18" max="19" width="13.69921875" style="61" customWidth="1"/>
    <col min="20" max="20" width="1.69921875" style="61" customWidth="1"/>
    <col min="21" max="21" width="1.19921875" style="61" customWidth="1"/>
    <col min="22" max="22" width="4.796875" style="61" customWidth="1"/>
    <col min="23" max="25" width="13.69921875" style="61" customWidth="1"/>
    <col min="26" max="26" width="7.69921875" style="61" customWidth="1"/>
    <col min="27" max="27" width="9.19921875" style="61" customWidth="1"/>
    <col min="28" max="30" width="7.69921875" style="61" customWidth="1"/>
    <col min="31" max="256" width="7.69921875" style="61"/>
    <col min="257" max="257" width="3.69921875" style="61" customWidth="1"/>
    <col min="258" max="258" width="10.5" style="61" customWidth="1"/>
    <col min="259" max="259" width="10" style="61" customWidth="1"/>
    <col min="260" max="260" width="6" style="61" customWidth="1"/>
    <col min="261" max="263" width="4.796875" style="61" customWidth="1"/>
    <col min="264" max="264" width="10" style="61" customWidth="1"/>
    <col min="265" max="265" width="4.796875" style="61" customWidth="1"/>
    <col min="266" max="266" width="3.796875" style="61" customWidth="1"/>
    <col min="267" max="270" width="4.796875" style="61" customWidth="1"/>
    <col min="271" max="271" width="13.19921875" style="61" customWidth="1"/>
    <col min="272" max="272" width="13.69921875" style="61" customWidth="1"/>
    <col min="273" max="273" width="26.69921875" style="61" customWidth="1"/>
    <col min="274" max="275" width="13.69921875" style="61" customWidth="1"/>
    <col min="276" max="276" width="1.69921875" style="61" customWidth="1"/>
    <col min="277" max="277" width="1.19921875" style="61" customWidth="1"/>
    <col min="278" max="278" width="4.796875" style="61" customWidth="1"/>
    <col min="279" max="281" width="13.69921875" style="61" customWidth="1"/>
    <col min="282" max="285" width="0" style="61" hidden="1" customWidth="1"/>
    <col min="286" max="512" width="7.69921875" style="61"/>
    <col min="513" max="513" width="3.69921875" style="61" customWidth="1"/>
    <col min="514" max="514" width="10.5" style="61" customWidth="1"/>
    <col min="515" max="515" width="10" style="61" customWidth="1"/>
    <col min="516" max="516" width="6" style="61" customWidth="1"/>
    <col min="517" max="519" width="4.796875" style="61" customWidth="1"/>
    <col min="520" max="520" width="10" style="61" customWidth="1"/>
    <col min="521" max="521" width="4.796875" style="61" customWidth="1"/>
    <col min="522" max="522" width="3.796875" style="61" customWidth="1"/>
    <col min="523" max="526" width="4.796875" style="61" customWidth="1"/>
    <col min="527" max="527" width="13.19921875" style="61" customWidth="1"/>
    <col min="528" max="528" width="13.69921875" style="61" customWidth="1"/>
    <col min="529" max="529" width="26.69921875" style="61" customWidth="1"/>
    <col min="530" max="531" width="13.69921875" style="61" customWidth="1"/>
    <col min="532" max="532" width="1.69921875" style="61" customWidth="1"/>
    <col min="533" max="533" width="1.19921875" style="61" customWidth="1"/>
    <col min="534" max="534" width="4.796875" style="61" customWidth="1"/>
    <col min="535" max="537" width="13.69921875" style="61" customWidth="1"/>
    <col min="538" max="541" width="0" style="61" hidden="1" customWidth="1"/>
    <col min="542" max="768" width="7.69921875" style="61"/>
    <col min="769" max="769" width="3.69921875" style="61" customWidth="1"/>
    <col min="770" max="770" width="10.5" style="61" customWidth="1"/>
    <col min="771" max="771" width="10" style="61" customWidth="1"/>
    <col min="772" max="772" width="6" style="61" customWidth="1"/>
    <col min="773" max="775" width="4.796875" style="61" customWidth="1"/>
    <col min="776" max="776" width="10" style="61" customWidth="1"/>
    <col min="777" max="777" width="4.796875" style="61" customWidth="1"/>
    <col min="778" max="778" width="3.796875" style="61" customWidth="1"/>
    <col min="779" max="782" width="4.796875" style="61" customWidth="1"/>
    <col min="783" max="783" width="13.19921875" style="61" customWidth="1"/>
    <col min="784" max="784" width="13.69921875" style="61" customWidth="1"/>
    <col min="785" max="785" width="26.69921875" style="61" customWidth="1"/>
    <col min="786" max="787" width="13.69921875" style="61" customWidth="1"/>
    <col min="788" max="788" width="1.69921875" style="61" customWidth="1"/>
    <col min="789" max="789" width="1.19921875" style="61" customWidth="1"/>
    <col min="790" max="790" width="4.796875" style="61" customWidth="1"/>
    <col min="791" max="793" width="13.69921875" style="61" customWidth="1"/>
    <col min="794" max="797" width="0" style="61" hidden="1" customWidth="1"/>
    <col min="798" max="1024" width="7.69921875" style="61"/>
    <col min="1025" max="1025" width="3.69921875" style="61" customWidth="1"/>
    <col min="1026" max="1026" width="10.5" style="61" customWidth="1"/>
    <col min="1027" max="1027" width="10" style="61" customWidth="1"/>
    <col min="1028" max="1028" width="6" style="61" customWidth="1"/>
    <col min="1029" max="1031" width="4.796875" style="61" customWidth="1"/>
    <col min="1032" max="1032" width="10" style="61" customWidth="1"/>
    <col min="1033" max="1033" width="4.796875" style="61" customWidth="1"/>
    <col min="1034" max="1034" width="3.796875" style="61" customWidth="1"/>
    <col min="1035" max="1038" width="4.796875" style="61" customWidth="1"/>
    <col min="1039" max="1039" width="13.19921875" style="61" customWidth="1"/>
    <col min="1040" max="1040" width="13.69921875" style="61" customWidth="1"/>
    <col min="1041" max="1041" width="26.69921875" style="61" customWidth="1"/>
    <col min="1042" max="1043" width="13.69921875" style="61" customWidth="1"/>
    <col min="1044" max="1044" width="1.69921875" style="61" customWidth="1"/>
    <col min="1045" max="1045" width="1.19921875" style="61" customWidth="1"/>
    <col min="1046" max="1046" width="4.796875" style="61" customWidth="1"/>
    <col min="1047" max="1049" width="13.69921875" style="61" customWidth="1"/>
    <col min="1050" max="1053" width="0" style="61" hidden="1" customWidth="1"/>
    <col min="1054" max="1280" width="7.69921875" style="61"/>
    <col min="1281" max="1281" width="3.69921875" style="61" customWidth="1"/>
    <col min="1282" max="1282" width="10.5" style="61" customWidth="1"/>
    <col min="1283" max="1283" width="10" style="61" customWidth="1"/>
    <col min="1284" max="1284" width="6" style="61" customWidth="1"/>
    <col min="1285" max="1287" width="4.796875" style="61" customWidth="1"/>
    <col min="1288" max="1288" width="10" style="61" customWidth="1"/>
    <col min="1289" max="1289" width="4.796875" style="61" customWidth="1"/>
    <col min="1290" max="1290" width="3.796875" style="61" customWidth="1"/>
    <col min="1291" max="1294" width="4.796875" style="61" customWidth="1"/>
    <col min="1295" max="1295" width="13.19921875" style="61" customWidth="1"/>
    <col min="1296" max="1296" width="13.69921875" style="61" customWidth="1"/>
    <col min="1297" max="1297" width="26.69921875" style="61" customWidth="1"/>
    <col min="1298" max="1299" width="13.69921875" style="61" customWidth="1"/>
    <col min="1300" max="1300" width="1.69921875" style="61" customWidth="1"/>
    <col min="1301" max="1301" width="1.19921875" style="61" customWidth="1"/>
    <col min="1302" max="1302" width="4.796875" style="61" customWidth="1"/>
    <col min="1303" max="1305" width="13.69921875" style="61" customWidth="1"/>
    <col min="1306" max="1309" width="0" style="61" hidden="1" customWidth="1"/>
    <col min="1310" max="1536" width="7.69921875" style="61"/>
    <col min="1537" max="1537" width="3.69921875" style="61" customWidth="1"/>
    <col min="1538" max="1538" width="10.5" style="61" customWidth="1"/>
    <col min="1539" max="1539" width="10" style="61" customWidth="1"/>
    <col min="1540" max="1540" width="6" style="61" customWidth="1"/>
    <col min="1541" max="1543" width="4.796875" style="61" customWidth="1"/>
    <col min="1544" max="1544" width="10" style="61" customWidth="1"/>
    <col min="1545" max="1545" width="4.796875" style="61" customWidth="1"/>
    <col min="1546" max="1546" width="3.796875" style="61" customWidth="1"/>
    <col min="1547" max="1550" width="4.796875" style="61" customWidth="1"/>
    <col min="1551" max="1551" width="13.19921875" style="61" customWidth="1"/>
    <col min="1552" max="1552" width="13.69921875" style="61" customWidth="1"/>
    <col min="1553" max="1553" width="26.69921875" style="61" customWidth="1"/>
    <col min="1554" max="1555" width="13.69921875" style="61" customWidth="1"/>
    <col min="1556" max="1556" width="1.69921875" style="61" customWidth="1"/>
    <col min="1557" max="1557" width="1.19921875" style="61" customWidth="1"/>
    <col min="1558" max="1558" width="4.796875" style="61" customWidth="1"/>
    <col min="1559" max="1561" width="13.69921875" style="61" customWidth="1"/>
    <col min="1562" max="1565" width="0" style="61" hidden="1" customWidth="1"/>
    <col min="1566" max="1792" width="7.69921875" style="61"/>
    <col min="1793" max="1793" width="3.69921875" style="61" customWidth="1"/>
    <col min="1794" max="1794" width="10.5" style="61" customWidth="1"/>
    <col min="1795" max="1795" width="10" style="61" customWidth="1"/>
    <col min="1796" max="1796" width="6" style="61" customWidth="1"/>
    <col min="1797" max="1799" width="4.796875" style="61" customWidth="1"/>
    <col min="1800" max="1800" width="10" style="61" customWidth="1"/>
    <col min="1801" max="1801" width="4.796875" style="61" customWidth="1"/>
    <col min="1802" max="1802" width="3.796875" style="61" customWidth="1"/>
    <col min="1803" max="1806" width="4.796875" style="61" customWidth="1"/>
    <col min="1807" max="1807" width="13.19921875" style="61" customWidth="1"/>
    <col min="1808" max="1808" width="13.69921875" style="61" customWidth="1"/>
    <col min="1809" max="1809" width="26.69921875" style="61" customWidth="1"/>
    <col min="1810" max="1811" width="13.69921875" style="61" customWidth="1"/>
    <col min="1812" max="1812" width="1.69921875" style="61" customWidth="1"/>
    <col min="1813" max="1813" width="1.19921875" style="61" customWidth="1"/>
    <col min="1814" max="1814" width="4.796875" style="61" customWidth="1"/>
    <col min="1815" max="1817" width="13.69921875" style="61" customWidth="1"/>
    <col min="1818" max="1821" width="0" style="61" hidden="1" customWidth="1"/>
    <col min="1822" max="2048" width="7.69921875" style="61"/>
    <col min="2049" max="2049" width="3.69921875" style="61" customWidth="1"/>
    <col min="2050" max="2050" width="10.5" style="61" customWidth="1"/>
    <col min="2051" max="2051" width="10" style="61" customWidth="1"/>
    <col min="2052" max="2052" width="6" style="61" customWidth="1"/>
    <col min="2053" max="2055" width="4.796875" style="61" customWidth="1"/>
    <col min="2056" max="2056" width="10" style="61" customWidth="1"/>
    <col min="2057" max="2057" width="4.796875" style="61" customWidth="1"/>
    <col min="2058" max="2058" width="3.796875" style="61" customWidth="1"/>
    <col min="2059" max="2062" width="4.796875" style="61" customWidth="1"/>
    <col min="2063" max="2063" width="13.19921875" style="61" customWidth="1"/>
    <col min="2064" max="2064" width="13.69921875" style="61" customWidth="1"/>
    <col min="2065" max="2065" width="26.69921875" style="61" customWidth="1"/>
    <col min="2066" max="2067" width="13.69921875" style="61" customWidth="1"/>
    <col min="2068" max="2068" width="1.69921875" style="61" customWidth="1"/>
    <col min="2069" max="2069" width="1.19921875" style="61" customWidth="1"/>
    <col min="2070" max="2070" width="4.796875" style="61" customWidth="1"/>
    <col min="2071" max="2073" width="13.69921875" style="61" customWidth="1"/>
    <col min="2074" max="2077" width="0" style="61" hidden="1" customWidth="1"/>
    <col min="2078" max="2304" width="7.69921875" style="61"/>
    <col min="2305" max="2305" width="3.69921875" style="61" customWidth="1"/>
    <col min="2306" max="2306" width="10.5" style="61" customWidth="1"/>
    <col min="2307" max="2307" width="10" style="61" customWidth="1"/>
    <col min="2308" max="2308" width="6" style="61" customWidth="1"/>
    <col min="2309" max="2311" width="4.796875" style="61" customWidth="1"/>
    <col min="2312" max="2312" width="10" style="61" customWidth="1"/>
    <col min="2313" max="2313" width="4.796875" style="61" customWidth="1"/>
    <col min="2314" max="2314" width="3.796875" style="61" customWidth="1"/>
    <col min="2315" max="2318" width="4.796875" style="61" customWidth="1"/>
    <col min="2319" max="2319" width="13.19921875" style="61" customWidth="1"/>
    <col min="2320" max="2320" width="13.69921875" style="61" customWidth="1"/>
    <col min="2321" max="2321" width="26.69921875" style="61" customWidth="1"/>
    <col min="2322" max="2323" width="13.69921875" style="61" customWidth="1"/>
    <col min="2324" max="2324" width="1.69921875" style="61" customWidth="1"/>
    <col min="2325" max="2325" width="1.19921875" style="61" customWidth="1"/>
    <col min="2326" max="2326" width="4.796875" style="61" customWidth="1"/>
    <col min="2327" max="2329" width="13.69921875" style="61" customWidth="1"/>
    <col min="2330" max="2333" width="0" style="61" hidden="1" customWidth="1"/>
    <col min="2334" max="2560" width="7.69921875" style="61"/>
    <col min="2561" max="2561" width="3.69921875" style="61" customWidth="1"/>
    <col min="2562" max="2562" width="10.5" style="61" customWidth="1"/>
    <col min="2563" max="2563" width="10" style="61" customWidth="1"/>
    <col min="2564" max="2564" width="6" style="61" customWidth="1"/>
    <col min="2565" max="2567" width="4.796875" style="61" customWidth="1"/>
    <col min="2568" max="2568" width="10" style="61" customWidth="1"/>
    <col min="2569" max="2569" width="4.796875" style="61" customWidth="1"/>
    <col min="2570" max="2570" width="3.796875" style="61" customWidth="1"/>
    <col min="2571" max="2574" width="4.796875" style="61" customWidth="1"/>
    <col min="2575" max="2575" width="13.19921875" style="61" customWidth="1"/>
    <col min="2576" max="2576" width="13.69921875" style="61" customWidth="1"/>
    <col min="2577" max="2577" width="26.69921875" style="61" customWidth="1"/>
    <col min="2578" max="2579" width="13.69921875" style="61" customWidth="1"/>
    <col min="2580" max="2580" width="1.69921875" style="61" customWidth="1"/>
    <col min="2581" max="2581" width="1.19921875" style="61" customWidth="1"/>
    <col min="2582" max="2582" width="4.796875" style="61" customWidth="1"/>
    <col min="2583" max="2585" width="13.69921875" style="61" customWidth="1"/>
    <col min="2586" max="2589" width="0" style="61" hidden="1" customWidth="1"/>
    <col min="2590" max="2816" width="7.69921875" style="61"/>
    <col min="2817" max="2817" width="3.69921875" style="61" customWidth="1"/>
    <col min="2818" max="2818" width="10.5" style="61" customWidth="1"/>
    <col min="2819" max="2819" width="10" style="61" customWidth="1"/>
    <col min="2820" max="2820" width="6" style="61" customWidth="1"/>
    <col min="2821" max="2823" width="4.796875" style="61" customWidth="1"/>
    <col min="2824" max="2824" width="10" style="61" customWidth="1"/>
    <col min="2825" max="2825" width="4.796875" style="61" customWidth="1"/>
    <col min="2826" max="2826" width="3.796875" style="61" customWidth="1"/>
    <col min="2827" max="2830" width="4.796875" style="61" customWidth="1"/>
    <col min="2831" max="2831" width="13.19921875" style="61" customWidth="1"/>
    <col min="2832" max="2832" width="13.69921875" style="61" customWidth="1"/>
    <col min="2833" max="2833" width="26.69921875" style="61" customWidth="1"/>
    <col min="2834" max="2835" width="13.69921875" style="61" customWidth="1"/>
    <col min="2836" max="2836" width="1.69921875" style="61" customWidth="1"/>
    <col min="2837" max="2837" width="1.19921875" style="61" customWidth="1"/>
    <col min="2838" max="2838" width="4.796875" style="61" customWidth="1"/>
    <col min="2839" max="2841" width="13.69921875" style="61" customWidth="1"/>
    <col min="2842" max="2845" width="0" style="61" hidden="1" customWidth="1"/>
    <col min="2846" max="3072" width="7.69921875" style="61"/>
    <col min="3073" max="3073" width="3.69921875" style="61" customWidth="1"/>
    <col min="3074" max="3074" width="10.5" style="61" customWidth="1"/>
    <col min="3075" max="3075" width="10" style="61" customWidth="1"/>
    <col min="3076" max="3076" width="6" style="61" customWidth="1"/>
    <col min="3077" max="3079" width="4.796875" style="61" customWidth="1"/>
    <col min="3080" max="3080" width="10" style="61" customWidth="1"/>
    <col min="3081" max="3081" width="4.796875" style="61" customWidth="1"/>
    <col min="3082" max="3082" width="3.796875" style="61" customWidth="1"/>
    <col min="3083" max="3086" width="4.796875" style="61" customWidth="1"/>
    <col min="3087" max="3087" width="13.19921875" style="61" customWidth="1"/>
    <col min="3088" max="3088" width="13.69921875" style="61" customWidth="1"/>
    <col min="3089" max="3089" width="26.69921875" style="61" customWidth="1"/>
    <col min="3090" max="3091" width="13.69921875" style="61" customWidth="1"/>
    <col min="3092" max="3092" width="1.69921875" style="61" customWidth="1"/>
    <col min="3093" max="3093" width="1.19921875" style="61" customWidth="1"/>
    <col min="3094" max="3094" width="4.796875" style="61" customWidth="1"/>
    <col min="3095" max="3097" width="13.69921875" style="61" customWidth="1"/>
    <col min="3098" max="3101" width="0" style="61" hidden="1" customWidth="1"/>
    <col min="3102" max="3328" width="7.69921875" style="61"/>
    <col min="3329" max="3329" width="3.69921875" style="61" customWidth="1"/>
    <col min="3330" max="3330" width="10.5" style="61" customWidth="1"/>
    <col min="3331" max="3331" width="10" style="61" customWidth="1"/>
    <col min="3332" max="3332" width="6" style="61" customWidth="1"/>
    <col min="3333" max="3335" width="4.796875" style="61" customWidth="1"/>
    <col min="3336" max="3336" width="10" style="61" customWidth="1"/>
    <col min="3337" max="3337" width="4.796875" style="61" customWidth="1"/>
    <col min="3338" max="3338" width="3.796875" style="61" customWidth="1"/>
    <col min="3339" max="3342" width="4.796875" style="61" customWidth="1"/>
    <col min="3343" max="3343" width="13.19921875" style="61" customWidth="1"/>
    <col min="3344" max="3344" width="13.69921875" style="61" customWidth="1"/>
    <col min="3345" max="3345" width="26.69921875" style="61" customWidth="1"/>
    <col min="3346" max="3347" width="13.69921875" style="61" customWidth="1"/>
    <col min="3348" max="3348" width="1.69921875" style="61" customWidth="1"/>
    <col min="3349" max="3349" width="1.19921875" style="61" customWidth="1"/>
    <col min="3350" max="3350" width="4.796875" style="61" customWidth="1"/>
    <col min="3351" max="3353" width="13.69921875" style="61" customWidth="1"/>
    <col min="3354" max="3357" width="0" style="61" hidden="1" customWidth="1"/>
    <col min="3358" max="3584" width="7.69921875" style="61"/>
    <col min="3585" max="3585" width="3.69921875" style="61" customWidth="1"/>
    <col min="3586" max="3586" width="10.5" style="61" customWidth="1"/>
    <col min="3587" max="3587" width="10" style="61" customWidth="1"/>
    <col min="3588" max="3588" width="6" style="61" customWidth="1"/>
    <col min="3589" max="3591" width="4.796875" style="61" customWidth="1"/>
    <col min="3592" max="3592" width="10" style="61" customWidth="1"/>
    <col min="3593" max="3593" width="4.796875" style="61" customWidth="1"/>
    <col min="3594" max="3594" width="3.796875" style="61" customWidth="1"/>
    <col min="3595" max="3598" width="4.796875" style="61" customWidth="1"/>
    <col min="3599" max="3599" width="13.19921875" style="61" customWidth="1"/>
    <col min="3600" max="3600" width="13.69921875" style="61" customWidth="1"/>
    <col min="3601" max="3601" width="26.69921875" style="61" customWidth="1"/>
    <col min="3602" max="3603" width="13.69921875" style="61" customWidth="1"/>
    <col min="3604" max="3604" width="1.69921875" style="61" customWidth="1"/>
    <col min="3605" max="3605" width="1.19921875" style="61" customWidth="1"/>
    <col min="3606" max="3606" width="4.796875" style="61" customWidth="1"/>
    <col min="3607" max="3609" width="13.69921875" style="61" customWidth="1"/>
    <col min="3610" max="3613" width="0" style="61" hidden="1" customWidth="1"/>
    <col min="3614" max="3840" width="7.69921875" style="61"/>
    <col min="3841" max="3841" width="3.69921875" style="61" customWidth="1"/>
    <col min="3842" max="3842" width="10.5" style="61" customWidth="1"/>
    <col min="3843" max="3843" width="10" style="61" customWidth="1"/>
    <col min="3844" max="3844" width="6" style="61" customWidth="1"/>
    <col min="3845" max="3847" width="4.796875" style="61" customWidth="1"/>
    <col min="3848" max="3848" width="10" style="61" customWidth="1"/>
    <col min="3849" max="3849" width="4.796875" style="61" customWidth="1"/>
    <col min="3850" max="3850" width="3.796875" style="61" customWidth="1"/>
    <col min="3851" max="3854" width="4.796875" style="61" customWidth="1"/>
    <col min="3855" max="3855" width="13.19921875" style="61" customWidth="1"/>
    <col min="3856" max="3856" width="13.69921875" style="61" customWidth="1"/>
    <col min="3857" max="3857" width="26.69921875" style="61" customWidth="1"/>
    <col min="3858" max="3859" width="13.69921875" style="61" customWidth="1"/>
    <col min="3860" max="3860" width="1.69921875" style="61" customWidth="1"/>
    <col min="3861" max="3861" width="1.19921875" style="61" customWidth="1"/>
    <col min="3862" max="3862" width="4.796875" style="61" customWidth="1"/>
    <col min="3863" max="3865" width="13.69921875" style="61" customWidth="1"/>
    <col min="3866" max="3869" width="0" style="61" hidden="1" customWidth="1"/>
    <col min="3870" max="4096" width="7.69921875" style="61"/>
    <col min="4097" max="4097" width="3.69921875" style="61" customWidth="1"/>
    <col min="4098" max="4098" width="10.5" style="61" customWidth="1"/>
    <col min="4099" max="4099" width="10" style="61" customWidth="1"/>
    <col min="4100" max="4100" width="6" style="61" customWidth="1"/>
    <col min="4101" max="4103" width="4.796875" style="61" customWidth="1"/>
    <col min="4104" max="4104" width="10" style="61" customWidth="1"/>
    <col min="4105" max="4105" width="4.796875" style="61" customWidth="1"/>
    <col min="4106" max="4106" width="3.796875" style="61" customWidth="1"/>
    <col min="4107" max="4110" width="4.796875" style="61" customWidth="1"/>
    <col min="4111" max="4111" width="13.19921875" style="61" customWidth="1"/>
    <col min="4112" max="4112" width="13.69921875" style="61" customWidth="1"/>
    <col min="4113" max="4113" width="26.69921875" style="61" customWidth="1"/>
    <col min="4114" max="4115" width="13.69921875" style="61" customWidth="1"/>
    <col min="4116" max="4116" width="1.69921875" style="61" customWidth="1"/>
    <col min="4117" max="4117" width="1.19921875" style="61" customWidth="1"/>
    <col min="4118" max="4118" width="4.796875" style="61" customWidth="1"/>
    <col min="4119" max="4121" width="13.69921875" style="61" customWidth="1"/>
    <col min="4122" max="4125" width="0" style="61" hidden="1" customWidth="1"/>
    <col min="4126" max="4352" width="7.69921875" style="61"/>
    <col min="4353" max="4353" width="3.69921875" style="61" customWidth="1"/>
    <col min="4354" max="4354" width="10.5" style="61" customWidth="1"/>
    <col min="4355" max="4355" width="10" style="61" customWidth="1"/>
    <col min="4356" max="4356" width="6" style="61" customWidth="1"/>
    <col min="4357" max="4359" width="4.796875" style="61" customWidth="1"/>
    <col min="4360" max="4360" width="10" style="61" customWidth="1"/>
    <col min="4361" max="4361" width="4.796875" style="61" customWidth="1"/>
    <col min="4362" max="4362" width="3.796875" style="61" customWidth="1"/>
    <col min="4363" max="4366" width="4.796875" style="61" customWidth="1"/>
    <col min="4367" max="4367" width="13.19921875" style="61" customWidth="1"/>
    <col min="4368" max="4368" width="13.69921875" style="61" customWidth="1"/>
    <col min="4369" max="4369" width="26.69921875" style="61" customWidth="1"/>
    <col min="4370" max="4371" width="13.69921875" style="61" customWidth="1"/>
    <col min="4372" max="4372" width="1.69921875" style="61" customWidth="1"/>
    <col min="4373" max="4373" width="1.19921875" style="61" customWidth="1"/>
    <col min="4374" max="4374" width="4.796875" style="61" customWidth="1"/>
    <col min="4375" max="4377" width="13.69921875" style="61" customWidth="1"/>
    <col min="4378" max="4381" width="0" style="61" hidden="1" customWidth="1"/>
    <col min="4382" max="4608" width="7.69921875" style="61"/>
    <col min="4609" max="4609" width="3.69921875" style="61" customWidth="1"/>
    <col min="4610" max="4610" width="10.5" style="61" customWidth="1"/>
    <col min="4611" max="4611" width="10" style="61" customWidth="1"/>
    <col min="4612" max="4612" width="6" style="61" customWidth="1"/>
    <col min="4613" max="4615" width="4.796875" style="61" customWidth="1"/>
    <col min="4616" max="4616" width="10" style="61" customWidth="1"/>
    <col min="4617" max="4617" width="4.796875" style="61" customWidth="1"/>
    <col min="4618" max="4618" width="3.796875" style="61" customWidth="1"/>
    <col min="4619" max="4622" width="4.796875" style="61" customWidth="1"/>
    <col min="4623" max="4623" width="13.19921875" style="61" customWidth="1"/>
    <col min="4624" max="4624" width="13.69921875" style="61" customWidth="1"/>
    <col min="4625" max="4625" width="26.69921875" style="61" customWidth="1"/>
    <col min="4626" max="4627" width="13.69921875" style="61" customWidth="1"/>
    <col min="4628" max="4628" width="1.69921875" style="61" customWidth="1"/>
    <col min="4629" max="4629" width="1.19921875" style="61" customWidth="1"/>
    <col min="4630" max="4630" width="4.796875" style="61" customWidth="1"/>
    <col min="4631" max="4633" width="13.69921875" style="61" customWidth="1"/>
    <col min="4634" max="4637" width="0" style="61" hidden="1" customWidth="1"/>
    <col min="4638" max="4864" width="7.69921875" style="61"/>
    <col min="4865" max="4865" width="3.69921875" style="61" customWidth="1"/>
    <col min="4866" max="4866" width="10.5" style="61" customWidth="1"/>
    <col min="4867" max="4867" width="10" style="61" customWidth="1"/>
    <col min="4868" max="4868" width="6" style="61" customWidth="1"/>
    <col min="4869" max="4871" width="4.796875" style="61" customWidth="1"/>
    <col min="4872" max="4872" width="10" style="61" customWidth="1"/>
    <col min="4873" max="4873" width="4.796875" style="61" customWidth="1"/>
    <col min="4874" max="4874" width="3.796875" style="61" customWidth="1"/>
    <col min="4875" max="4878" width="4.796875" style="61" customWidth="1"/>
    <col min="4879" max="4879" width="13.19921875" style="61" customWidth="1"/>
    <col min="4880" max="4880" width="13.69921875" style="61" customWidth="1"/>
    <col min="4881" max="4881" width="26.69921875" style="61" customWidth="1"/>
    <col min="4882" max="4883" width="13.69921875" style="61" customWidth="1"/>
    <col min="4884" max="4884" width="1.69921875" style="61" customWidth="1"/>
    <col min="4885" max="4885" width="1.19921875" style="61" customWidth="1"/>
    <col min="4886" max="4886" width="4.796875" style="61" customWidth="1"/>
    <col min="4887" max="4889" width="13.69921875" style="61" customWidth="1"/>
    <col min="4890" max="4893" width="0" style="61" hidden="1" customWidth="1"/>
    <col min="4894" max="5120" width="7.69921875" style="61"/>
    <col min="5121" max="5121" width="3.69921875" style="61" customWidth="1"/>
    <col min="5122" max="5122" width="10.5" style="61" customWidth="1"/>
    <col min="5123" max="5123" width="10" style="61" customWidth="1"/>
    <col min="5124" max="5124" width="6" style="61" customWidth="1"/>
    <col min="5125" max="5127" width="4.796875" style="61" customWidth="1"/>
    <col min="5128" max="5128" width="10" style="61" customWidth="1"/>
    <col min="5129" max="5129" width="4.796875" style="61" customWidth="1"/>
    <col min="5130" max="5130" width="3.796875" style="61" customWidth="1"/>
    <col min="5131" max="5134" width="4.796875" style="61" customWidth="1"/>
    <col min="5135" max="5135" width="13.19921875" style="61" customWidth="1"/>
    <col min="5136" max="5136" width="13.69921875" style="61" customWidth="1"/>
    <col min="5137" max="5137" width="26.69921875" style="61" customWidth="1"/>
    <col min="5138" max="5139" width="13.69921875" style="61" customWidth="1"/>
    <col min="5140" max="5140" width="1.69921875" style="61" customWidth="1"/>
    <col min="5141" max="5141" width="1.19921875" style="61" customWidth="1"/>
    <col min="5142" max="5142" width="4.796875" style="61" customWidth="1"/>
    <col min="5143" max="5145" width="13.69921875" style="61" customWidth="1"/>
    <col min="5146" max="5149" width="0" style="61" hidden="1" customWidth="1"/>
    <col min="5150" max="5376" width="7.69921875" style="61"/>
    <col min="5377" max="5377" width="3.69921875" style="61" customWidth="1"/>
    <col min="5378" max="5378" width="10.5" style="61" customWidth="1"/>
    <col min="5379" max="5379" width="10" style="61" customWidth="1"/>
    <col min="5380" max="5380" width="6" style="61" customWidth="1"/>
    <col min="5381" max="5383" width="4.796875" style="61" customWidth="1"/>
    <col min="5384" max="5384" width="10" style="61" customWidth="1"/>
    <col min="5385" max="5385" width="4.796875" style="61" customWidth="1"/>
    <col min="5386" max="5386" width="3.796875" style="61" customWidth="1"/>
    <col min="5387" max="5390" width="4.796875" style="61" customWidth="1"/>
    <col min="5391" max="5391" width="13.19921875" style="61" customWidth="1"/>
    <col min="5392" max="5392" width="13.69921875" style="61" customWidth="1"/>
    <col min="5393" max="5393" width="26.69921875" style="61" customWidth="1"/>
    <col min="5394" max="5395" width="13.69921875" style="61" customWidth="1"/>
    <col min="5396" max="5396" width="1.69921875" style="61" customWidth="1"/>
    <col min="5397" max="5397" width="1.19921875" style="61" customWidth="1"/>
    <col min="5398" max="5398" width="4.796875" style="61" customWidth="1"/>
    <col min="5399" max="5401" width="13.69921875" style="61" customWidth="1"/>
    <col min="5402" max="5405" width="0" style="61" hidden="1" customWidth="1"/>
    <col min="5406" max="5632" width="7.69921875" style="61"/>
    <col min="5633" max="5633" width="3.69921875" style="61" customWidth="1"/>
    <col min="5634" max="5634" width="10.5" style="61" customWidth="1"/>
    <col min="5635" max="5635" width="10" style="61" customWidth="1"/>
    <col min="5636" max="5636" width="6" style="61" customWidth="1"/>
    <col min="5637" max="5639" width="4.796875" style="61" customWidth="1"/>
    <col min="5640" max="5640" width="10" style="61" customWidth="1"/>
    <col min="5641" max="5641" width="4.796875" style="61" customWidth="1"/>
    <col min="5642" max="5642" width="3.796875" style="61" customWidth="1"/>
    <col min="5643" max="5646" width="4.796875" style="61" customWidth="1"/>
    <col min="5647" max="5647" width="13.19921875" style="61" customWidth="1"/>
    <col min="5648" max="5648" width="13.69921875" style="61" customWidth="1"/>
    <col min="5649" max="5649" width="26.69921875" style="61" customWidth="1"/>
    <col min="5650" max="5651" width="13.69921875" style="61" customWidth="1"/>
    <col min="5652" max="5652" width="1.69921875" style="61" customWidth="1"/>
    <col min="5653" max="5653" width="1.19921875" style="61" customWidth="1"/>
    <col min="5654" max="5654" width="4.796875" style="61" customWidth="1"/>
    <col min="5655" max="5657" width="13.69921875" style="61" customWidth="1"/>
    <col min="5658" max="5661" width="0" style="61" hidden="1" customWidth="1"/>
    <col min="5662" max="5888" width="7.69921875" style="61"/>
    <col min="5889" max="5889" width="3.69921875" style="61" customWidth="1"/>
    <col min="5890" max="5890" width="10.5" style="61" customWidth="1"/>
    <col min="5891" max="5891" width="10" style="61" customWidth="1"/>
    <col min="5892" max="5892" width="6" style="61" customWidth="1"/>
    <col min="5893" max="5895" width="4.796875" style="61" customWidth="1"/>
    <col min="5896" max="5896" width="10" style="61" customWidth="1"/>
    <col min="5897" max="5897" width="4.796875" style="61" customWidth="1"/>
    <col min="5898" max="5898" width="3.796875" style="61" customWidth="1"/>
    <col min="5899" max="5902" width="4.796875" style="61" customWidth="1"/>
    <col min="5903" max="5903" width="13.19921875" style="61" customWidth="1"/>
    <col min="5904" max="5904" width="13.69921875" style="61" customWidth="1"/>
    <col min="5905" max="5905" width="26.69921875" style="61" customWidth="1"/>
    <col min="5906" max="5907" width="13.69921875" style="61" customWidth="1"/>
    <col min="5908" max="5908" width="1.69921875" style="61" customWidth="1"/>
    <col min="5909" max="5909" width="1.19921875" style="61" customWidth="1"/>
    <col min="5910" max="5910" width="4.796875" style="61" customWidth="1"/>
    <col min="5911" max="5913" width="13.69921875" style="61" customWidth="1"/>
    <col min="5914" max="5917" width="0" style="61" hidden="1" customWidth="1"/>
    <col min="5918" max="6144" width="7.69921875" style="61"/>
    <col min="6145" max="6145" width="3.69921875" style="61" customWidth="1"/>
    <col min="6146" max="6146" width="10.5" style="61" customWidth="1"/>
    <col min="6147" max="6147" width="10" style="61" customWidth="1"/>
    <col min="6148" max="6148" width="6" style="61" customWidth="1"/>
    <col min="6149" max="6151" width="4.796875" style="61" customWidth="1"/>
    <col min="6152" max="6152" width="10" style="61" customWidth="1"/>
    <col min="6153" max="6153" width="4.796875" style="61" customWidth="1"/>
    <col min="6154" max="6154" width="3.796875" style="61" customWidth="1"/>
    <col min="6155" max="6158" width="4.796875" style="61" customWidth="1"/>
    <col min="6159" max="6159" width="13.19921875" style="61" customWidth="1"/>
    <col min="6160" max="6160" width="13.69921875" style="61" customWidth="1"/>
    <col min="6161" max="6161" width="26.69921875" style="61" customWidth="1"/>
    <col min="6162" max="6163" width="13.69921875" style="61" customWidth="1"/>
    <col min="6164" max="6164" width="1.69921875" style="61" customWidth="1"/>
    <col min="6165" max="6165" width="1.19921875" style="61" customWidth="1"/>
    <col min="6166" max="6166" width="4.796875" style="61" customWidth="1"/>
    <col min="6167" max="6169" width="13.69921875" style="61" customWidth="1"/>
    <col min="6170" max="6173" width="0" style="61" hidden="1" customWidth="1"/>
    <col min="6174" max="6400" width="7.69921875" style="61"/>
    <col min="6401" max="6401" width="3.69921875" style="61" customWidth="1"/>
    <col min="6402" max="6402" width="10.5" style="61" customWidth="1"/>
    <col min="6403" max="6403" width="10" style="61" customWidth="1"/>
    <col min="6404" max="6404" width="6" style="61" customWidth="1"/>
    <col min="6405" max="6407" width="4.796875" style="61" customWidth="1"/>
    <col min="6408" max="6408" width="10" style="61" customWidth="1"/>
    <col min="6409" max="6409" width="4.796875" style="61" customWidth="1"/>
    <col min="6410" max="6410" width="3.796875" style="61" customWidth="1"/>
    <col min="6411" max="6414" width="4.796875" style="61" customWidth="1"/>
    <col min="6415" max="6415" width="13.19921875" style="61" customWidth="1"/>
    <col min="6416" max="6416" width="13.69921875" style="61" customWidth="1"/>
    <col min="6417" max="6417" width="26.69921875" style="61" customWidth="1"/>
    <col min="6418" max="6419" width="13.69921875" style="61" customWidth="1"/>
    <col min="6420" max="6420" width="1.69921875" style="61" customWidth="1"/>
    <col min="6421" max="6421" width="1.19921875" style="61" customWidth="1"/>
    <col min="6422" max="6422" width="4.796875" style="61" customWidth="1"/>
    <col min="6423" max="6425" width="13.69921875" style="61" customWidth="1"/>
    <col min="6426" max="6429" width="0" style="61" hidden="1" customWidth="1"/>
    <col min="6430" max="6656" width="7.69921875" style="61"/>
    <col min="6657" max="6657" width="3.69921875" style="61" customWidth="1"/>
    <col min="6658" max="6658" width="10.5" style="61" customWidth="1"/>
    <col min="6659" max="6659" width="10" style="61" customWidth="1"/>
    <col min="6660" max="6660" width="6" style="61" customWidth="1"/>
    <col min="6661" max="6663" width="4.796875" style="61" customWidth="1"/>
    <col min="6664" max="6664" width="10" style="61" customWidth="1"/>
    <col min="6665" max="6665" width="4.796875" style="61" customWidth="1"/>
    <col min="6666" max="6666" width="3.796875" style="61" customWidth="1"/>
    <col min="6667" max="6670" width="4.796875" style="61" customWidth="1"/>
    <col min="6671" max="6671" width="13.19921875" style="61" customWidth="1"/>
    <col min="6672" max="6672" width="13.69921875" style="61" customWidth="1"/>
    <col min="6673" max="6673" width="26.69921875" style="61" customWidth="1"/>
    <col min="6674" max="6675" width="13.69921875" style="61" customWidth="1"/>
    <col min="6676" max="6676" width="1.69921875" style="61" customWidth="1"/>
    <col min="6677" max="6677" width="1.19921875" style="61" customWidth="1"/>
    <col min="6678" max="6678" width="4.796875" style="61" customWidth="1"/>
    <col min="6679" max="6681" width="13.69921875" style="61" customWidth="1"/>
    <col min="6682" max="6685" width="0" style="61" hidden="1" customWidth="1"/>
    <col min="6686" max="6912" width="7.69921875" style="61"/>
    <col min="6913" max="6913" width="3.69921875" style="61" customWidth="1"/>
    <col min="6914" max="6914" width="10.5" style="61" customWidth="1"/>
    <col min="6915" max="6915" width="10" style="61" customWidth="1"/>
    <col min="6916" max="6916" width="6" style="61" customWidth="1"/>
    <col min="6917" max="6919" width="4.796875" style="61" customWidth="1"/>
    <col min="6920" max="6920" width="10" style="61" customWidth="1"/>
    <col min="6921" max="6921" width="4.796875" style="61" customWidth="1"/>
    <col min="6922" max="6922" width="3.796875" style="61" customWidth="1"/>
    <col min="6923" max="6926" width="4.796875" style="61" customWidth="1"/>
    <col min="6927" max="6927" width="13.19921875" style="61" customWidth="1"/>
    <col min="6928" max="6928" width="13.69921875" style="61" customWidth="1"/>
    <col min="6929" max="6929" width="26.69921875" style="61" customWidth="1"/>
    <col min="6930" max="6931" width="13.69921875" style="61" customWidth="1"/>
    <col min="6932" max="6932" width="1.69921875" style="61" customWidth="1"/>
    <col min="6933" max="6933" width="1.19921875" style="61" customWidth="1"/>
    <col min="6934" max="6934" width="4.796875" style="61" customWidth="1"/>
    <col min="6935" max="6937" width="13.69921875" style="61" customWidth="1"/>
    <col min="6938" max="6941" width="0" style="61" hidden="1" customWidth="1"/>
    <col min="6942" max="7168" width="7.69921875" style="61"/>
    <col min="7169" max="7169" width="3.69921875" style="61" customWidth="1"/>
    <col min="7170" max="7170" width="10.5" style="61" customWidth="1"/>
    <col min="7171" max="7171" width="10" style="61" customWidth="1"/>
    <col min="7172" max="7172" width="6" style="61" customWidth="1"/>
    <col min="7173" max="7175" width="4.796875" style="61" customWidth="1"/>
    <col min="7176" max="7176" width="10" style="61" customWidth="1"/>
    <col min="7177" max="7177" width="4.796875" style="61" customWidth="1"/>
    <col min="7178" max="7178" width="3.796875" style="61" customWidth="1"/>
    <col min="7179" max="7182" width="4.796875" style="61" customWidth="1"/>
    <col min="7183" max="7183" width="13.19921875" style="61" customWidth="1"/>
    <col min="7184" max="7184" width="13.69921875" style="61" customWidth="1"/>
    <col min="7185" max="7185" width="26.69921875" style="61" customWidth="1"/>
    <col min="7186" max="7187" width="13.69921875" style="61" customWidth="1"/>
    <col min="7188" max="7188" width="1.69921875" style="61" customWidth="1"/>
    <col min="7189" max="7189" width="1.19921875" style="61" customWidth="1"/>
    <col min="7190" max="7190" width="4.796875" style="61" customWidth="1"/>
    <col min="7191" max="7193" width="13.69921875" style="61" customWidth="1"/>
    <col min="7194" max="7197" width="0" style="61" hidden="1" customWidth="1"/>
    <col min="7198" max="7424" width="7.69921875" style="61"/>
    <col min="7425" max="7425" width="3.69921875" style="61" customWidth="1"/>
    <col min="7426" max="7426" width="10.5" style="61" customWidth="1"/>
    <col min="7427" max="7427" width="10" style="61" customWidth="1"/>
    <col min="7428" max="7428" width="6" style="61" customWidth="1"/>
    <col min="7429" max="7431" width="4.796875" style="61" customWidth="1"/>
    <col min="7432" max="7432" width="10" style="61" customWidth="1"/>
    <col min="7433" max="7433" width="4.796875" style="61" customWidth="1"/>
    <col min="7434" max="7434" width="3.796875" style="61" customWidth="1"/>
    <col min="7435" max="7438" width="4.796875" style="61" customWidth="1"/>
    <col min="7439" max="7439" width="13.19921875" style="61" customWidth="1"/>
    <col min="7440" max="7440" width="13.69921875" style="61" customWidth="1"/>
    <col min="7441" max="7441" width="26.69921875" style="61" customWidth="1"/>
    <col min="7442" max="7443" width="13.69921875" style="61" customWidth="1"/>
    <col min="7444" max="7444" width="1.69921875" style="61" customWidth="1"/>
    <col min="7445" max="7445" width="1.19921875" style="61" customWidth="1"/>
    <col min="7446" max="7446" width="4.796875" style="61" customWidth="1"/>
    <col min="7447" max="7449" width="13.69921875" style="61" customWidth="1"/>
    <col min="7450" max="7453" width="0" style="61" hidden="1" customWidth="1"/>
    <col min="7454" max="7680" width="7.69921875" style="61"/>
    <col min="7681" max="7681" width="3.69921875" style="61" customWidth="1"/>
    <col min="7682" max="7682" width="10.5" style="61" customWidth="1"/>
    <col min="7683" max="7683" width="10" style="61" customWidth="1"/>
    <col min="7684" max="7684" width="6" style="61" customWidth="1"/>
    <col min="7685" max="7687" width="4.796875" style="61" customWidth="1"/>
    <col min="7688" max="7688" width="10" style="61" customWidth="1"/>
    <col min="7689" max="7689" width="4.796875" style="61" customWidth="1"/>
    <col min="7690" max="7690" width="3.796875" style="61" customWidth="1"/>
    <col min="7691" max="7694" width="4.796875" style="61" customWidth="1"/>
    <col min="7695" max="7695" width="13.19921875" style="61" customWidth="1"/>
    <col min="7696" max="7696" width="13.69921875" style="61" customWidth="1"/>
    <col min="7697" max="7697" width="26.69921875" style="61" customWidth="1"/>
    <col min="7698" max="7699" width="13.69921875" style="61" customWidth="1"/>
    <col min="7700" max="7700" width="1.69921875" style="61" customWidth="1"/>
    <col min="7701" max="7701" width="1.19921875" style="61" customWidth="1"/>
    <col min="7702" max="7702" width="4.796875" style="61" customWidth="1"/>
    <col min="7703" max="7705" width="13.69921875" style="61" customWidth="1"/>
    <col min="7706" max="7709" width="0" style="61" hidden="1" customWidth="1"/>
    <col min="7710" max="7936" width="7.69921875" style="61"/>
    <col min="7937" max="7937" width="3.69921875" style="61" customWidth="1"/>
    <col min="7938" max="7938" width="10.5" style="61" customWidth="1"/>
    <col min="7939" max="7939" width="10" style="61" customWidth="1"/>
    <col min="7940" max="7940" width="6" style="61" customWidth="1"/>
    <col min="7941" max="7943" width="4.796875" style="61" customWidth="1"/>
    <col min="7944" max="7944" width="10" style="61" customWidth="1"/>
    <col min="7945" max="7945" width="4.796875" style="61" customWidth="1"/>
    <col min="7946" max="7946" width="3.796875" style="61" customWidth="1"/>
    <col min="7947" max="7950" width="4.796875" style="61" customWidth="1"/>
    <col min="7951" max="7951" width="13.19921875" style="61" customWidth="1"/>
    <col min="7952" max="7952" width="13.69921875" style="61" customWidth="1"/>
    <col min="7953" max="7953" width="26.69921875" style="61" customWidth="1"/>
    <col min="7954" max="7955" width="13.69921875" style="61" customWidth="1"/>
    <col min="7956" max="7956" width="1.69921875" style="61" customWidth="1"/>
    <col min="7957" max="7957" width="1.19921875" style="61" customWidth="1"/>
    <col min="7958" max="7958" width="4.796875" style="61" customWidth="1"/>
    <col min="7959" max="7961" width="13.69921875" style="61" customWidth="1"/>
    <col min="7962" max="7965" width="0" style="61" hidden="1" customWidth="1"/>
    <col min="7966" max="8192" width="7.69921875" style="61"/>
    <col min="8193" max="8193" width="3.69921875" style="61" customWidth="1"/>
    <col min="8194" max="8194" width="10.5" style="61" customWidth="1"/>
    <col min="8195" max="8195" width="10" style="61" customWidth="1"/>
    <col min="8196" max="8196" width="6" style="61" customWidth="1"/>
    <col min="8197" max="8199" width="4.796875" style="61" customWidth="1"/>
    <col min="8200" max="8200" width="10" style="61" customWidth="1"/>
    <col min="8201" max="8201" width="4.796875" style="61" customWidth="1"/>
    <col min="8202" max="8202" width="3.796875" style="61" customWidth="1"/>
    <col min="8203" max="8206" width="4.796875" style="61" customWidth="1"/>
    <col min="8207" max="8207" width="13.19921875" style="61" customWidth="1"/>
    <col min="8208" max="8208" width="13.69921875" style="61" customWidth="1"/>
    <col min="8209" max="8209" width="26.69921875" style="61" customWidth="1"/>
    <col min="8210" max="8211" width="13.69921875" style="61" customWidth="1"/>
    <col min="8212" max="8212" width="1.69921875" style="61" customWidth="1"/>
    <col min="8213" max="8213" width="1.19921875" style="61" customWidth="1"/>
    <col min="8214" max="8214" width="4.796875" style="61" customWidth="1"/>
    <col min="8215" max="8217" width="13.69921875" style="61" customWidth="1"/>
    <col min="8218" max="8221" width="0" style="61" hidden="1" customWidth="1"/>
    <col min="8222" max="8448" width="7.69921875" style="61"/>
    <col min="8449" max="8449" width="3.69921875" style="61" customWidth="1"/>
    <col min="8450" max="8450" width="10.5" style="61" customWidth="1"/>
    <col min="8451" max="8451" width="10" style="61" customWidth="1"/>
    <col min="8452" max="8452" width="6" style="61" customWidth="1"/>
    <col min="8453" max="8455" width="4.796875" style="61" customWidth="1"/>
    <col min="8456" max="8456" width="10" style="61" customWidth="1"/>
    <col min="8457" max="8457" width="4.796875" style="61" customWidth="1"/>
    <col min="8458" max="8458" width="3.796875" style="61" customWidth="1"/>
    <col min="8459" max="8462" width="4.796875" style="61" customWidth="1"/>
    <col min="8463" max="8463" width="13.19921875" style="61" customWidth="1"/>
    <col min="8464" max="8464" width="13.69921875" style="61" customWidth="1"/>
    <col min="8465" max="8465" width="26.69921875" style="61" customWidth="1"/>
    <col min="8466" max="8467" width="13.69921875" style="61" customWidth="1"/>
    <col min="8468" max="8468" width="1.69921875" style="61" customWidth="1"/>
    <col min="8469" max="8469" width="1.19921875" style="61" customWidth="1"/>
    <col min="8470" max="8470" width="4.796875" style="61" customWidth="1"/>
    <col min="8471" max="8473" width="13.69921875" style="61" customWidth="1"/>
    <col min="8474" max="8477" width="0" style="61" hidden="1" customWidth="1"/>
    <col min="8478" max="8704" width="7.69921875" style="61"/>
    <col min="8705" max="8705" width="3.69921875" style="61" customWidth="1"/>
    <col min="8706" max="8706" width="10.5" style="61" customWidth="1"/>
    <col min="8707" max="8707" width="10" style="61" customWidth="1"/>
    <col min="8708" max="8708" width="6" style="61" customWidth="1"/>
    <col min="8709" max="8711" width="4.796875" style="61" customWidth="1"/>
    <col min="8712" max="8712" width="10" style="61" customWidth="1"/>
    <col min="8713" max="8713" width="4.796875" style="61" customWidth="1"/>
    <col min="8714" max="8714" width="3.796875" style="61" customWidth="1"/>
    <col min="8715" max="8718" width="4.796875" style="61" customWidth="1"/>
    <col min="8719" max="8719" width="13.19921875" style="61" customWidth="1"/>
    <col min="8720" max="8720" width="13.69921875" style="61" customWidth="1"/>
    <col min="8721" max="8721" width="26.69921875" style="61" customWidth="1"/>
    <col min="8722" max="8723" width="13.69921875" style="61" customWidth="1"/>
    <col min="8724" max="8724" width="1.69921875" style="61" customWidth="1"/>
    <col min="8725" max="8725" width="1.19921875" style="61" customWidth="1"/>
    <col min="8726" max="8726" width="4.796875" style="61" customWidth="1"/>
    <col min="8727" max="8729" width="13.69921875" style="61" customWidth="1"/>
    <col min="8730" max="8733" width="0" style="61" hidden="1" customWidth="1"/>
    <col min="8734" max="8960" width="7.69921875" style="61"/>
    <col min="8961" max="8961" width="3.69921875" style="61" customWidth="1"/>
    <col min="8962" max="8962" width="10.5" style="61" customWidth="1"/>
    <col min="8963" max="8963" width="10" style="61" customWidth="1"/>
    <col min="8964" max="8964" width="6" style="61" customWidth="1"/>
    <col min="8965" max="8967" width="4.796875" style="61" customWidth="1"/>
    <col min="8968" max="8968" width="10" style="61" customWidth="1"/>
    <col min="8969" max="8969" width="4.796875" style="61" customWidth="1"/>
    <col min="8970" max="8970" width="3.796875" style="61" customWidth="1"/>
    <col min="8971" max="8974" width="4.796875" style="61" customWidth="1"/>
    <col min="8975" max="8975" width="13.19921875" style="61" customWidth="1"/>
    <col min="8976" max="8976" width="13.69921875" style="61" customWidth="1"/>
    <col min="8977" max="8977" width="26.69921875" style="61" customWidth="1"/>
    <col min="8978" max="8979" width="13.69921875" style="61" customWidth="1"/>
    <col min="8980" max="8980" width="1.69921875" style="61" customWidth="1"/>
    <col min="8981" max="8981" width="1.19921875" style="61" customWidth="1"/>
    <col min="8982" max="8982" width="4.796875" style="61" customWidth="1"/>
    <col min="8983" max="8985" width="13.69921875" style="61" customWidth="1"/>
    <col min="8986" max="8989" width="0" style="61" hidden="1" customWidth="1"/>
    <col min="8990" max="9216" width="7.69921875" style="61"/>
    <col min="9217" max="9217" width="3.69921875" style="61" customWidth="1"/>
    <col min="9218" max="9218" width="10.5" style="61" customWidth="1"/>
    <col min="9219" max="9219" width="10" style="61" customWidth="1"/>
    <col min="9220" max="9220" width="6" style="61" customWidth="1"/>
    <col min="9221" max="9223" width="4.796875" style="61" customWidth="1"/>
    <col min="9224" max="9224" width="10" style="61" customWidth="1"/>
    <col min="9225" max="9225" width="4.796875" style="61" customWidth="1"/>
    <col min="9226" max="9226" width="3.796875" style="61" customWidth="1"/>
    <col min="9227" max="9230" width="4.796875" style="61" customWidth="1"/>
    <col min="9231" max="9231" width="13.19921875" style="61" customWidth="1"/>
    <col min="9232" max="9232" width="13.69921875" style="61" customWidth="1"/>
    <col min="9233" max="9233" width="26.69921875" style="61" customWidth="1"/>
    <col min="9234" max="9235" width="13.69921875" style="61" customWidth="1"/>
    <col min="9236" max="9236" width="1.69921875" style="61" customWidth="1"/>
    <col min="9237" max="9237" width="1.19921875" style="61" customWidth="1"/>
    <col min="9238" max="9238" width="4.796875" style="61" customWidth="1"/>
    <col min="9239" max="9241" width="13.69921875" style="61" customWidth="1"/>
    <col min="9242" max="9245" width="0" style="61" hidden="1" customWidth="1"/>
    <col min="9246" max="9472" width="7.69921875" style="61"/>
    <col min="9473" max="9473" width="3.69921875" style="61" customWidth="1"/>
    <col min="9474" max="9474" width="10.5" style="61" customWidth="1"/>
    <col min="9475" max="9475" width="10" style="61" customWidth="1"/>
    <col min="9476" max="9476" width="6" style="61" customWidth="1"/>
    <col min="9477" max="9479" width="4.796875" style="61" customWidth="1"/>
    <col min="9480" max="9480" width="10" style="61" customWidth="1"/>
    <col min="9481" max="9481" width="4.796875" style="61" customWidth="1"/>
    <col min="9482" max="9482" width="3.796875" style="61" customWidth="1"/>
    <col min="9483" max="9486" width="4.796875" style="61" customWidth="1"/>
    <col min="9487" max="9487" width="13.19921875" style="61" customWidth="1"/>
    <col min="9488" max="9488" width="13.69921875" style="61" customWidth="1"/>
    <col min="9489" max="9489" width="26.69921875" style="61" customWidth="1"/>
    <col min="9490" max="9491" width="13.69921875" style="61" customWidth="1"/>
    <col min="9492" max="9492" width="1.69921875" style="61" customWidth="1"/>
    <col min="9493" max="9493" width="1.19921875" style="61" customWidth="1"/>
    <col min="9494" max="9494" width="4.796875" style="61" customWidth="1"/>
    <col min="9495" max="9497" width="13.69921875" style="61" customWidth="1"/>
    <col min="9498" max="9501" width="0" style="61" hidden="1" customWidth="1"/>
    <col min="9502" max="9728" width="7.69921875" style="61"/>
    <col min="9729" max="9729" width="3.69921875" style="61" customWidth="1"/>
    <col min="9730" max="9730" width="10.5" style="61" customWidth="1"/>
    <col min="9731" max="9731" width="10" style="61" customWidth="1"/>
    <col min="9732" max="9732" width="6" style="61" customWidth="1"/>
    <col min="9733" max="9735" width="4.796875" style="61" customWidth="1"/>
    <col min="9736" max="9736" width="10" style="61" customWidth="1"/>
    <col min="9737" max="9737" width="4.796875" style="61" customWidth="1"/>
    <col min="9738" max="9738" width="3.796875" style="61" customWidth="1"/>
    <col min="9739" max="9742" width="4.796875" style="61" customWidth="1"/>
    <col min="9743" max="9743" width="13.19921875" style="61" customWidth="1"/>
    <col min="9744" max="9744" width="13.69921875" style="61" customWidth="1"/>
    <col min="9745" max="9745" width="26.69921875" style="61" customWidth="1"/>
    <col min="9746" max="9747" width="13.69921875" style="61" customWidth="1"/>
    <col min="9748" max="9748" width="1.69921875" style="61" customWidth="1"/>
    <col min="9749" max="9749" width="1.19921875" style="61" customWidth="1"/>
    <col min="9750" max="9750" width="4.796875" style="61" customWidth="1"/>
    <col min="9751" max="9753" width="13.69921875" style="61" customWidth="1"/>
    <col min="9754" max="9757" width="0" style="61" hidden="1" customWidth="1"/>
    <col min="9758" max="9984" width="7.69921875" style="61"/>
    <col min="9985" max="9985" width="3.69921875" style="61" customWidth="1"/>
    <col min="9986" max="9986" width="10.5" style="61" customWidth="1"/>
    <col min="9987" max="9987" width="10" style="61" customWidth="1"/>
    <col min="9988" max="9988" width="6" style="61" customWidth="1"/>
    <col min="9989" max="9991" width="4.796875" style="61" customWidth="1"/>
    <col min="9992" max="9992" width="10" style="61" customWidth="1"/>
    <col min="9993" max="9993" width="4.796875" style="61" customWidth="1"/>
    <col min="9994" max="9994" width="3.796875" style="61" customWidth="1"/>
    <col min="9995" max="9998" width="4.796875" style="61" customWidth="1"/>
    <col min="9999" max="9999" width="13.19921875" style="61" customWidth="1"/>
    <col min="10000" max="10000" width="13.69921875" style="61" customWidth="1"/>
    <col min="10001" max="10001" width="26.69921875" style="61" customWidth="1"/>
    <col min="10002" max="10003" width="13.69921875" style="61" customWidth="1"/>
    <col min="10004" max="10004" width="1.69921875" style="61" customWidth="1"/>
    <col min="10005" max="10005" width="1.19921875" style="61" customWidth="1"/>
    <col min="10006" max="10006" width="4.796875" style="61" customWidth="1"/>
    <col min="10007" max="10009" width="13.69921875" style="61" customWidth="1"/>
    <col min="10010" max="10013" width="0" style="61" hidden="1" customWidth="1"/>
    <col min="10014" max="10240" width="7.69921875" style="61"/>
    <col min="10241" max="10241" width="3.69921875" style="61" customWidth="1"/>
    <col min="10242" max="10242" width="10.5" style="61" customWidth="1"/>
    <col min="10243" max="10243" width="10" style="61" customWidth="1"/>
    <col min="10244" max="10244" width="6" style="61" customWidth="1"/>
    <col min="10245" max="10247" width="4.796875" style="61" customWidth="1"/>
    <col min="10248" max="10248" width="10" style="61" customWidth="1"/>
    <col min="10249" max="10249" width="4.796875" style="61" customWidth="1"/>
    <col min="10250" max="10250" width="3.796875" style="61" customWidth="1"/>
    <col min="10251" max="10254" width="4.796875" style="61" customWidth="1"/>
    <col min="10255" max="10255" width="13.19921875" style="61" customWidth="1"/>
    <col min="10256" max="10256" width="13.69921875" style="61" customWidth="1"/>
    <col min="10257" max="10257" width="26.69921875" style="61" customWidth="1"/>
    <col min="10258" max="10259" width="13.69921875" style="61" customWidth="1"/>
    <col min="10260" max="10260" width="1.69921875" style="61" customWidth="1"/>
    <col min="10261" max="10261" width="1.19921875" style="61" customWidth="1"/>
    <col min="10262" max="10262" width="4.796875" style="61" customWidth="1"/>
    <col min="10263" max="10265" width="13.69921875" style="61" customWidth="1"/>
    <col min="10266" max="10269" width="0" style="61" hidden="1" customWidth="1"/>
    <col min="10270" max="10496" width="7.69921875" style="61"/>
    <col min="10497" max="10497" width="3.69921875" style="61" customWidth="1"/>
    <col min="10498" max="10498" width="10.5" style="61" customWidth="1"/>
    <col min="10499" max="10499" width="10" style="61" customWidth="1"/>
    <col min="10500" max="10500" width="6" style="61" customWidth="1"/>
    <col min="10501" max="10503" width="4.796875" style="61" customWidth="1"/>
    <col min="10504" max="10504" width="10" style="61" customWidth="1"/>
    <col min="10505" max="10505" width="4.796875" style="61" customWidth="1"/>
    <col min="10506" max="10506" width="3.796875" style="61" customWidth="1"/>
    <col min="10507" max="10510" width="4.796875" style="61" customWidth="1"/>
    <col min="10511" max="10511" width="13.19921875" style="61" customWidth="1"/>
    <col min="10512" max="10512" width="13.69921875" style="61" customWidth="1"/>
    <col min="10513" max="10513" width="26.69921875" style="61" customWidth="1"/>
    <col min="10514" max="10515" width="13.69921875" style="61" customWidth="1"/>
    <col min="10516" max="10516" width="1.69921875" style="61" customWidth="1"/>
    <col min="10517" max="10517" width="1.19921875" style="61" customWidth="1"/>
    <col min="10518" max="10518" width="4.796875" style="61" customWidth="1"/>
    <col min="10519" max="10521" width="13.69921875" style="61" customWidth="1"/>
    <col min="10522" max="10525" width="0" style="61" hidden="1" customWidth="1"/>
    <col min="10526" max="10752" width="7.69921875" style="61"/>
    <col min="10753" max="10753" width="3.69921875" style="61" customWidth="1"/>
    <col min="10754" max="10754" width="10.5" style="61" customWidth="1"/>
    <col min="10755" max="10755" width="10" style="61" customWidth="1"/>
    <col min="10756" max="10756" width="6" style="61" customWidth="1"/>
    <col min="10757" max="10759" width="4.796875" style="61" customWidth="1"/>
    <col min="10760" max="10760" width="10" style="61" customWidth="1"/>
    <col min="10761" max="10761" width="4.796875" style="61" customWidth="1"/>
    <col min="10762" max="10762" width="3.796875" style="61" customWidth="1"/>
    <col min="10763" max="10766" width="4.796875" style="61" customWidth="1"/>
    <col min="10767" max="10767" width="13.19921875" style="61" customWidth="1"/>
    <col min="10768" max="10768" width="13.69921875" style="61" customWidth="1"/>
    <col min="10769" max="10769" width="26.69921875" style="61" customWidth="1"/>
    <col min="10770" max="10771" width="13.69921875" style="61" customWidth="1"/>
    <col min="10772" max="10772" width="1.69921875" style="61" customWidth="1"/>
    <col min="10773" max="10773" width="1.19921875" style="61" customWidth="1"/>
    <col min="10774" max="10774" width="4.796875" style="61" customWidth="1"/>
    <col min="10775" max="10777" width="13.69921875" style="61" customWidth="1"/>
    <col min="10778" max="10781" width="0" style="61" hidden="1" customWidth="1"/>
    <col min="10782" max="11008" width="7.69921875" style="61"/>
    <col min="11009" max="11009" width="3.69921875" style="61" customWidth="1"/>
    <col min="11010" max="11010" width="10.5" style="61" customWidth="1"/>
    <col min="11011" max="11011" width="10" style="61" customWidth="1"/>
    <col min="11012" max="11012" width="6" style="61" customWidth="1"/>
    <col min="11013" max="11015" width="4.796875" style="61" customWidth="1"/>
    <col min="11016" max="11016" width="10" style="61" customWidth="1"/>
    <col min="11017" max="11017" width="4.796875" style="61" customWidth="1"/>
    <col min="11018" max="11018" width="3.796875" style="61" customWidth="1"/>
    <col min="11019" max="11022" width="4.796875" style="61" customWidth="1"/>
    <col min="11023" max="11023" width="13.19921875" style="61" customWidth="1"/>
    <col min="11024" max="11024" width="13.69921875" style="61" customWidth="1"/>
    <col min="11025" max="11025" width="26.69921875" style="61" customWidth="1"/>
    <col min="11026" max="11027" width="13.69921875" style="61" customWidth="1"/>
    <col min="11028" max="11028" width="1.69921875" style="61" customWidth="1"/>
    <col min="11029" max="11029" width="1.19921875" style="61" customWidth="1"/>
    <col min="11030" max="11030" width="4.796875" style="61" customWidth="1"/>
    <col min="11031" max="11033" width="13.69921875" style="61" customWidth="1"/>
    <col min="11034" max="11037" width="0" style="61" hidden="1" customWidth="1"/>
    <col min="11038" max="11264" width="7.69921875" style="61"/>
    <col min="11265" max="11265" width="3.69921875" style="61" customWidth="1"/>
    <col min="11266" max="11266" width="10.5" style="61" customWidth="1"/>
    <col min="11267" max="11267" width="10" style="61" customWidth="1"/>
    <col min="11268" max="11268" width="6" style="61" customWidth="1"/>
    <col min="11269" max="11271" width="4.796875" style="61" customWidth="1"/>
    <col min="11272" max="11272" width="10" style="61" customWidth="1"/>
    <col min="11273" max="11273" width="4.796875" style="61" customWidth="1"/>
    <col min="11274" max="11274" width="3.796875" style="61" customWidth="1"/>
    <col min="11275" max="11278" width="4.796875" style="61" customWidth="1"/>
    <col min="11279" max="11279" width="13.19921875" style="61" customWidth="1"/>
    <col min="11280" max="11280" width="13.69921875" style="61" customWidth="1"/>
    <col min="11281" max="11281" width="26.69921875" style="61" customWidth="1"/>
    <col min="11282" max="11283" width="13.69921875" style="61" customWidth="1"/>
    <col min="11284" max="11284" width="1.69921875" style="61" customWidth="1"/>
    <col min="11285" max="11285" width="1.19921875" style="61" customWidth="1"/>
    <col min="11286" max="11286" width="4.796875" style="61" customWidth="1"/>
    <col min="11287" max="11289" width="13.69921875" style="61" customWidth="1"/>
    <col min="11290" max="11293" width="0" style="61" hidden="1" customWidth="1"/>
    <col min="11294" max="11520" width="7.69921875" style="61"/>
    <col min="11521" max="11521" width="3.69921875" style="61" customWidth="1"/>
    <col min="11522" max="11522" width="10.5" style="61" customWidth="1"/>
    <col min="11523" max="11523" width="10" style="61" customWidth="1"/>
    <col min="11524" max="11524" width="6" style="61" customWidth="1"/>
    <col min="11525" max="11527" width="4.796875" style="61" customWidth="1"/>
    <col min="11528" max="11528" width="10" style="61" customWidth="1"/>
    <col min="11529" max="11529" width="4.796875" style="61" customWidth="1"/>
    <col min="11530" max="11530" width="3.796875" style="61" customWidth="1"/>
    <col min="11531" max="11534" width="4.796875" style="61" customWidth="1"/>
    <col min="11535" max="11535" width="13.19921875" style="61" customWidth="1"/>
    <col min="11536" max="11536" width="13.69921875" style="61" customWidth="1"/>
    <col min="11537" max="11537" width="26.69921875" style="61" customWidth="1"/>
    <col min="11538" max="11539" width="13.69921875" style="61" customWidth="1"/>
    <col min="11540" max="11540" width="1.69921875" style="61" customWidth="1"/>
    <col min="11541" max="11541" width="1.19921875" style="61" customWidth="1"/>
    <col min="11542" max="11542" width="4.796875" style="61" customWidth="1"/>
    <col min="11543" max="11545" width="13.69921875" style="61" customWidth="1"/>
    <col min="11546" max="11549" width="0" style="61" hidden="1" customWidth="1"/>
    <col min="11550" max="11776" width="7.69921875" style="61"/>
    <col min="11777" max="11777" width="3.69921875" style="61" customWidth="1"/>
    <col min="11778" max="11778" width="10.5" style="61" customWidth="1"/>
    <col min="11779" max="11779" width="10" style="61" customWidth="1"/>
    <col min="11780" max="11780" width="6" style="61" customWidth="1"/>
    <col min="11781" max="11783" width="4.796875" style="61" customWidth="1"/>
    <col min="11784" max="11784" width="10" style="61" customWidth="1"/>
    <col min="11785" max="11785" width="4.796875" style="61" customWidth="1"/>
    <col min="11786" max="11786" width="3.796875" style="61" customWidth="1"/>
    <col min="11787" max="11790" width="4.796875" style="61" customWidth="1"/>
    <col min="11791" max="11791" width="13.19921875" style="61" customWidth="1"/>
    <col min="11792" max="11792" width="13.69921875" style="61" customWidth="1"/>
    <col min="11793" max="11793" width="26.69921875" style="61" customWidth="1"/>
    <col min="11794" max="11795" width="13.69921875" style="61" customWidth="1"/>
    <col min="11796" max="11796" width="1.69921875" style="61" customWidth="1"/>
    <col min="11797" max="11797" width="1.19921875" style="61" customWidth="1"/>
    <col min="11798" max="11798" width="4.796875" style="61" customWidth="1"/>
    <col min="11799" max="11801" width="13.69921875" style="61" customWidth="1"/>
    <col min="11802" max="11805" width="0" style="61" hidden="1" customWidth="1"/>
    <col min="11806" max="12032" width="7.69921875" style="61"/>
    <col min="12033" max="12033" width="3.69921875" style="61" customWidth="1"/>
    <col min="12034" max="12034" width="10.5" style="61" customWidth="1"/>
    <col min="12035" max="12035" width="10" style="61" customWidth="1"/>
    <col min="12036" max="12036" width="6" style="61" customWidth="1"/>
    <col min="12037" max="12039" width="4.796875" style="61" customWidth="1"/>
    <col min="12040" max="12040" width="10" style="61" customWidth="1"/>
    <col min="12041" max="12041" width="4.796875" style="61" customWidth="1"/>
    <col min="12042" max="12042" width="3.796875" style="61" customWidth="1"/>
    <col min="12043" max="12046" width="4.796875" style="61" customWidth="1"/>
    <col min="12047" max="12047" width="13.19921875" style="61" customWidth="1"/>
    <col min="12048" max="12048" width="13.69921875" style="61" customWidth="1"/>
    <col min="12049" max="12049" width="26.69921875" style="61" customWidth="1"/>
    <col min="12050" max="12051" width="13.69921875" style="61" customWidth="1"/>
    <col min="12052" max="12052" width="1.69921875" style="61" customWidth="1"/>
    <col min="12053" max="12053" width="1.19921875" style="61" customWidth="1"/>
    <col min="12054" max="12054" width="4.796875" style="61" customWidth="1"/>
    <col min="12055" max="12057" width="13.69921875" style="61" customWidth="1"/>
    <col min="12058" max="12061" width="0" style="61" hidden="1" customWidth="1"/>
    <col min="12062" max="12288" width="7.69921875" style="61"/>
    <col min="12289" max="12289" width="3.69921875" style="61" customWidth="1"/>
    <col min="12290" max="12290" width="10.5" style="61" customWidth="1"/>
    <col min="12291" max="12291" width="10" style="61" customWidth="1"/>
    <col min="12292" max="12292" width="6" style="61" customWidth="1"/>
    <col min="12293" max="12295" width="4.796875" style="61" customWidth="1"/>
    <col min="12296" max="12296" width="10" style="61" customWidth="1"/>
    <col min="12297" max="12297" width="4.796875" style="61" customWidth="1"/>
    <col min="12298" max="12298" width="3.796875" style="61" customWidth="1"/>
    <col min="12299" max="12302" width="4.796875" style="61" customWidth="1"/>
    <col min="12303" max="12303" width="13.19921875" style="61" customWidth="1"/>
    <col min="12304" max="12304" width="13.69921875" style="61" customWidth="1"/>
    <col min="12305" max="12305" width="26.69921875" style="61" customWidth="1"/>
    <col min="12306" max="12307" width="13.69921875" style="61" customWidth="1"/>
    <col min="12308" max="12308" width="1.69921875" style="61" customWidth="1"/>
    <col min="12309" max="12309" width="1.19921875" style="61" customWidth="1"/>
    <col min="12310" max="12310" width="4.796875" style="61" customWidth="1"/>
    <col min="12311" max="12313" width="13.69921875" style="61" customWidth="1"/>
    <col min="12314" max="12317" width="0" style="61" hidden="1" customWidth="1"/>
    <col min="12318" max="12544" width="7.69921875" style="61"/>
    <col min="12545" max="12545" width="3.69921875" style="61" customWidth="1"/>
    <col min="12546" max="12546" width="10.5" style="61" customWidth="1"/>
    <col min="12547" max="12547" width="10" style="61" customWidth="1"/>
    <col min="12548" max="12548" width="6" style="61" customWidth="1"/>
    <col min="12549" max="12551" width="4.796875" style="61" customWidth="1"/>
    <col min="12552" max="12552" width="10" style="61" customWidth="1"/>
    <col min="12553" max="12553" width="4.796875" style="61" customWidth="1"/>
    <col min="12554" max="12554" width="3.796875" style="61" customWidth="1"/>
    <col min="12555" max="12558" width="4.796875" style="61" customWidth="1"/>
    <col min="12559" max="12559" width="13.19921875" style="61" customWidth="1"/>
    <col min="12560" max="12560" width="13.69921875" style="61" customWidth="1"/>
    <col min="12561" max="12561" width="26.69921875" style="61" customWidth="1"/>
    <col min="12562" max="12563" width="13.69921875" style="61" customWidth="1"/>
    <col min="12564" max="12564" width="1.69921875" style="61" customWidth="1"/>
    <col min="12565" max="12565" width="1.19921875" style="61" customWidth="1"/>
    <col min="12566" max="12566" width="4.796875" style="61" customWidth="1"/>
    <col min="12567" max="12569" width="13.69921875" style="61" customWidth="1"/>
    <col min="12570" max="12573" width="0" style="61" hidden="1" customWidth="1"/>
    <col min="12574" max="12800" width="7.69921875" style="61"/>
    <col min="12801" max="12801" width="3.69921875" style="61" customWidth="1"/>
    <col min="12802" max="12802" width="10.5" style="61" customWidth="1"/>
    <col min="12803" max="12803" width="10" style="61" customWidth="1"/>
    <col min="12804" max="12804" width="6" style="61" customWidth="1"/>
    <col min="12805" max="12807" width="4.796875" style="61" customWidth="1"/>
    <col min="12808" max="12808" width="10" style="61" customWidth="1"/>
    <col min="12809" max="12809" width="4.796875" style="61" customWidth="1"/>
    <col min="12810" max="12810" width="3.796875" style="61" customWidth="1"/>
    <col min="12811" max="12814" width="4.796875" style="61" customWidth="1"/>
    <col min="12815" max="12815" width="13.19921875" style="61" customWidth="1"/>
    <col min="12816" max="12816" width="13.69921875" style="61" customWidth="1"/>
    <col min="12817" max="12817" width="26.69921875" style="61" customWidth="1"/>
    <col min="12818" max="12819" width="13.69921875" style="61" customWidth="1"/>
    <col min="12820" max="12820" width="1.69921875" style="61" customWidth="1"/>
    <col min="12821" max="12821" width="1.19921875" style="61" customWidth="1"/>
    <col min="12822" max="12822" width="4.796875" style="61" customWidth="1"/>
    <col min="12823" max="12825" width="13.69921875" style="61" customWidth="1"/>
    <col min="12826" max="12829" width="0" style="61" hidden="1" customWidth="1"/>
    <col min="12830" max="13056" width="7.69921875" style="61"/>
    <col min="13057" max="13057" width="3.69921875" style="61" customWidth="1"/>
    <col min="13058" max="13058" width="10.5" style="61" customWidth="1"/>
    <col min="13059" max="13059" width="10" style="61" customWidth="1"/>
    <col min="13060" max="13060" width="6" style="61" customWidth="1"/>
    <col min="13061" max="13063" width="4.796875" style="61" customWidth="1"/>
    <col min="13064" max="13064" width="10" style="61" customWidth="1"/>
    <col min="13065" max="13065" width="4.796875" style="61" customWidth="1"/>
    <col min="13066" max="13066" width="3.796875" style="61" customWidth="1"/>
    <col min="13067" max="13070" width="4.796875" style="61" customWidth="1"/>
    <col min="13071" max="13071" width="13.19921875" style="61" customWidth="1"/>
    <col min="13072" max="13072" width="13.69921875" style="61" customWidth="1"/>
    <col min="13073" max="13073" width="26.69921875" style="61" customWidth="1"/>
    <col min="13074" max="13075" width="13.69921875" style="61" customWidth="1"/>
    <col min="13076" max="13076" width="1.69921875" style="61" customWidth="1"/>
    <col min="13077" max="13077" width="1.19921875" style="61" customWidth="1"/>
    <col min="13078" max="13078" width="4.796875" style="61" customWidth="1"/>
    <col min="13079" max="13081" width="13.69921875" style="61" customWidth="1"/>
    <col min="13082" max="13085" width="0" style="61" hidden="1" customWidth="1"/>
    <col min="13086" max="13312" width="7.69921875" style="61"/>
    <col min="13313" max="13313" width="3.69921875" style="61" customWidth="1"/>
    <col min="13314" max="13314" width="10.5" style="61" customWidth="1"/>
    <col min="13315" max="13315" width="10" style="61" customWidth="1"/>
    <col min="13316" max="13316" width="6" style="61" customWidth="1"/>
    <col min="13317" max="13319" width="4.796875" style="61" customWidth="1"/>
    <col min="13320" max="13320" width="10" style="61" customWidth="1"/>
    <col min="13321" max="13321" width="4.796875" style="61" customWidth="1"/>
    <col min="13322" max="13322" width="3.796875" style="61" customWidth="1"/>
    <col min="13323" max="13326" width="4.796875" style="61" customWidth="1"/>
    <col min="13327" max="13327" width="13.19921875" style="61" customWidth="1"/>
    <col min="13328" max="13328" width="13.69921875" style="61" customWidth="1"/>
    <col min="13329" max="13329" width="26.69921875" style="61" customWidth="1"/>
    <col min="13330" max="13331" width="13.69921875" style="61" customWidth="1"/>
    <col min="13332" max="13332" width="1.69921875" style="61" customWidth="1"/>
    <col min="13333" max="13333" width="1.19921875" style="61" customWidth="1"/>
    <col min="13334" max="13334" width="4.796875" style="61" customWidth="1"/>
    <col min="13335" max="13337" width="13.69921875" style="61" customWidth="1"/>
    <col min="13338" max="13341" width="0" style="61" hidden="1" customWidth="1"/>
    <col min="13342" max="13568" width="7.69921875" style="61"/>
    <col min="13569" max="13569" width="3.69921875" style="61" customWidth="1"/>
    <col min="13570" max="13570" width="10.5" style="61" customWidth="1"/>
    <col min="13571" max="13571" width="10" style="61" customWidth="1"/>
    <col min="13572" max="13572" width="6" style="61" customWidth="1"/>
    <col min="13573" max="13575" width="4.796875" style="61" customWidth="1"/>
    <col min="13576" max="13576" width="10" style="61" customWidth="1"/>
    <col min="13577" max="13577" width="4.796875" style="61" customWidth="1"/>
    <col min="13578" max="13578" width="3.796875" style="61" customWidth="1"/>
    <col min="13579" max="13582" width="4.796875" style="61" customWidth="1"/>
    <col min="13583" max="13583" width="13.19921875" style="61" customWidth="1"/>
    <col min="13584" max="13584" width="13.69921875" style="61" customWidth="1"/>
    <col min="13585" max="13585" width="26.69921875" style="61" customWidth="1"/>
    <col min="13586" max="13587" width="13.69921875" style="61" customWidth="1"/>
    <col min="13588" max="13588" width="1.69921875" style="61" customWidth="1"/>
    <col min="13589" max="13589" width="1.19921875" style="61" customWidth="1"/>
    <col min="13590" max="13590" width="4.796875" style="61" customWidth="1"/>
    <col min="13591" max="13593" width="13.69921875" style="61" customWidth="1"/>
    <col min="13594" max="13597" width="0" style="61" hidden="1" customWidth="1"/>
    <col min="13598" max="13824" width="7.69921875" style="61"/>
    <col min="13825" max="13825" width="3.69921875" style="61" customWidth="1"/>
    <col min="13826" max="13826" width="10.5" style="61" customWidth="1"/>
    <col min="13827" max="13827" width="10" style="61" customWidth="1"/>
    <col min="13828" max="13828" width="6" style="61" customWidth="1"/>
    <col min="13829" max="13831" width="4.796875" style="61" customWidth="1"/>
    <col min="13832" max="13832" width="10" style="61" customWidth="1"/>
    <col min="13833" max="13833" width="4.796875" style="61" customWidth="1"/>
    <col min="13834" max="13834" width="3.796875" style="61" customWidth="1"/>
    <col min="13835" max="13838" width="4.796875" style="61" customWidth="1"/>
    <col min="13839" max="13839" width="13.19921875" style="61" customWidth="1"/>
    <col min="13840" max="13840" width="13.69921875" style="61" customWidth="1"/>
    <col min="13841" max="13841" width="26.69921875" style="61" customWidth="1"/>
    <col min="13842" max="13843" width="13.69921875" style="61" customWidth="1"/>
    <col min="13844" max="13844" width="1.69921875" style="61" customWidth="1"/>
    <col min="13845" max="13845" width="1.19921875" style="61" customWidth="1"/>
    <col min="13846" max="13846" width="4.796875" style="61" customWidth="1"/>
    <col min="13847" max="13849" width="13.69921875" style="61" customWidth="1"/>
    <col min="13850" max="13853" width="0" style="61" hidden="1" customWidth="1"/>
    <col min="13854" max="14080" width="7.69921875" style="61"/>
    <col min="14081" max="14081" width="3.69921875" style="61" customWidth="1"/>
    <col min="14082" max="14082" width="10.5" style="61" customWidth="1"/>
    <col min="14083" max="14083" width="10" style="61" customWidth="1"/>
    <col min="14084" max="14084" width="6" style="61" customWidth="1"/>
    <col min="14085" max="14087" width="4.796875" style="61" customWidth="1"/>
    <col min="14088" max="14088" width="10" style="61" customWidth="1"/>
    <col min="14089" max="14089" width="4.796875" style="61" customWidth="1"/>
    <col min="14090" max="14090" width="3.796875" style="61" customWidth="1"/>
    <col min="14091" max="14094" width="4.796875" style="61" customWidth="1"/>
    <col min="14095" max="14095" width="13.19921875" style="61" customWidth="1"/>
    <col min="14096" max="14096" width="13.69921875" style="61" customWidth="1"/>
    <col min="14097" max="14097" width="26.69921875" style="61" customWidth="1"/>
    <col min="14098" max="14099" width="13.69921875" style="61" customWidth="1"/>
    <col min="14100" max="14100" width="1.69921875" style="61" customWidth="1"/>
    <col min="14101" max="14101" width="1.19921875" style="61" customWidth="1"/>
    <col min="14102" max="14102" width="4.796875" style="61" customWidth="1"/>
    <col min="14103" max="14105" width="13.69921875" style="61" customWidth="1"/>
    <col min="14106" max="14109" width="0" style="61" hidden="1" customWidth="1"/>
    <col min="14110" max="14336" width="7.69921875" style="61"/>
    <col min="14337" max="14337" width="3.69921875" style="61" customWidth="1"/>
    <col min="14338" max="14338" width="10.5" style="61" customWidth="1"/>
    <col min="14339" max="14339" width="10" style="61" customWidth="1"/>
    <col min="14340" max="14340" width="6" style="61" customWidth="1"/>
    <col min="14341" max="14343" width="4.796875" style="61" customWidth="1"/>
    <col min="14344" max="14344" width="10" style="61" customWidth="1"/>
    <col min="14345" max="14345" width="4.796875" style="61" customWidth="1"/>
    <col min="14346" max="14346" width="3.796875" style="61" customWidth="1"/>
    <col min="14347" max="14350" width="4.796875" style="61" customWidth="1"/>
    <col min="14351" max="14351" width="13.19921875" style="61" customWidth="1"/>
    <col min="14352" max="14352" width="13.69921875" style="61" customWidth="1"/>
    <col min="14353" max="14353" width="26.69921875" style="61" customWidth="1"/>
    <col min="14354" max="14355" width="13.69921875" style="61" customWidth="1"/>
    <col min="14356" max="14356" width="1.69921875" style="61" customWidth="1"/>
    <col min="14357" max="14357" width="1.19921875" style="61" customWidth="1"/>
    <col min="14358" max="14358" width="4.796875" style="61" customWidth="1"/>
    <col min="14359" max="14361" width="13.69921875" style="61" customWidth="1"/>
    <col min="14362" max="14365" width="0" style="61" hidden="1" customWidth="1"/>
    <col min="14366" max="14592" width="7.69921875" style="61"/>
    <col min="14593" max="14593" width="3.69921875" style="61" customWidth="1"/>
    <col min="14594" max="14594" width="10.5" style="61" customWidth="1"/>
    <col min="14595" max="14595" width="10" style="61" customWidth="1"/>
    <col min="14596" max="14596" width="6" style="61" customWidth="1"/>
    <col min="14597" max="14599" width="4.796875" style="61" customWidth="1"/>
    <col min="14600" max="14600" width="10" style="61" customWidth="1"/>
    <col min="14601" max="14601" width="4.796875" style="61" customWidth="1"/>
    <col min="14602" max="14602" width="3.796875" style="61" customWidth="1"/>
    <col min="14603" max="14606" width="4.796875" style="61" customWidth="1"/>
    <col min="14607" max="14607" width="13.19921875" style="61" customWidth="1"/>
    <col min="14608" max="14608" width="13.69921875" style="61" customWidth="1"/>
    <col min="14609" max="14609" width="26.69921875" style="61" customWidth="1"/>
    <col min="14610" max="14611" width="13.69921875" style="61" customWidth="1"/>
    <col min="14612" max="14612" width="1.69921875" style="61" customWidth="1"/>
    <col min="14613" max="14613" width="1.19921875" style="61" customWidth="1"/>
    <col min="14614" max="14614" width="4.796875" style="61" customWidth="1"/>
    <col min="14615" max="14617" width="13.69921875" style="61" customWidth="1"/>
    <col min="14618" max="14621" width="0" style="61" hidden="1" customWidth="1"/>
    <col min="14622" max="14848" width="7.69921875" style="61"/>
    <col min="14849" max="14849" width="3.69921875" style="61" customWidth="1"/>
    <col min="14850" max="14850" width="10.5" style="61" customWidth="1"/>
    <col min="14851" max="14851" width="10" style="61" customWidth="1"/>
    <col min="14852" max="14852" width="6" style="61" customWidth="1"/>
    <col min="14853" max="14855" width="4.796875" style="61" customWidth="1"/>
    <col min="14856" max="14856" width="10" style="61" customWidth="1"/>
    <col min="14857" max="14857" width="4.796875" style="61" customWidth="1"/>
    <col min="14858" max="14858" width="3.796875" style="61" customWidth="1"/>
    <col min="14859" max="14862" width="4.796875" style="61" customWidth="1"/>
    <col min="14863" max="14863" width="13.19921875" style="61" customWidth="1"/>
    <col min="14864" max="14864" width="13.69921875" style="61" customWidth="1"/>
    <col min="14865" max="14865" width="26.69921875" style="61" customWidth="1"/>
    <col min="14866" max="14867" width="13.69921875" style="61" customWidth="1"/>
    <col min="14868" max="14868" width="1.69921875" style="61" customWidth="1"/>
    <col min="14869" max="14869" width="1.19921875" style="61" customWidth="1"/>
    <col min="14870" max="14870" width="4.796875" style="61" customWidth="1"/>
    <col min="14871" max="14873" width="13.69921875" style="61" customWidth="1"/>
    <col min="14874" max="14877" width="0" style="61" hidden="1" customWidth="1"/>
    <col min="14878" max="15104" width="7.69921875" style="61"/>
    <col min="15105" max="15105" width="3.69921875" style="61" customWidth="1"/>
    <col min="15106" max="15106" width="10.5" style="61" customWidth="1"/>
    <col min="15107" max="15107" width="10" style="61" customWidth="1"/>
    <col min="15108" max="15108" width="6" style="61" customWidth="1"/>
    <col min="15109" max="15111" width="4.796875" style="61" customWidth="1"/>
    <col min="15112" max="15112" width="10" style="61" customWidth="1"/>
    <col min="15113" max="15113" width="4.796875" style="61" customWidth="1"/>
    <col min="15114" max="15114" width="3.796875" style="61" customWidth="1"/>
    <col min="15115" max="15118" width="4.796875" style="61" customWidth="1"/>
    <col min="15119" max="15119" width="13.19921875" style="61" customWidth="1"/>
    <col min="15120" max="15120" width="13.69921875" style="61" customWidth="1"/>
    <col min="15121" max="15121" width="26.69921875" style="61" customWidth="1"/>
    <col min="15122" max="15123" width="13.69921875" style="61" customWidth="1"/>
    <col min="15124" max="15124" width="1.69921875" style="61" customWidth="1"/>
    <col min="15125" max="15125" width="1.19921875" style="61" customWidth="1"/>
    <col min="15126" max="15126" width="4.796875" style="61" customWidth="1"/>
    <col min="15127" max="15129" width="13.69921875" style="61" customWidth="1"/>
    <col min="15130" max="15133" width="0" style="61" hidden="1" customWidth="1"/>
    <col min="15134" max="15360" width="7.69921875" style="61"/>
    <col min="15361" max="15361" width="3.69921875" style="61" customWidth="1"/>
    <col min="15362" max="15362" width="10.5" style="61" customWidth="1"/>
    <col min="15363" max="15363" width="10" style="61" customWidth="1"/>
    <col min="15364" max="15364" width="6" style="61" customWidth="1"/>
    <col min="15365" max="15367" width="4.796875" style="61" customWidth="1"/>
    <col min="15368" max="15368" width="10" style="61" customWidth="1"/>
    <col min="15369" max="15369" width="4.796875" style="61" customWidth="1"/>
    <col min="15370" max="15370" width="3.796875" style="61" customWidth="1"/>
    <col min="15371" max="15374" width="4.796875" style="61" customWidth="1"/>
    <col min="15375" max="15375" width="13.19921875" style="61" customWidth="1"/>
    <col min="15376" max="15376" width="13.69921875" style="61" customWidth="1"/>
    <col min="15377" max="15377" width="26.69921875" style="61" customWidth="1"/>
    <col min="15378" max="15379" width="13.69921875" style="61" customWidth="1"/>
    <col min="15380" max="15380" width="1.69921875" style="61" customWidth="1"/>
    <col min="15381" max="15381" width="1.19921875" style="61" customWidth="1"/>
    <col min="15382" max="15382" width="4.796875" style="61" customWidth="1"/>
    <col min="15383" max="15385" width="13.69921875" style="61" customWidth="1"/>
    <col min="15386" max="15389" width="0" style="61" hidden="1" customWidth="1"/>
    <col min="15390" max="15616" width="7.69921875" style="61"/>
    <col min="15617" max="15617" width="3.69921875" style="61" customWidth="1"/>
    <col min="15618" max="15618" width="10.5" style="61" customWidth="1"/>
    <col min="15619" max="15619" width="10" style="61" customWidth="1"/>
    <col min="15620" max="15620" width="6" style="61" customWidth="1"/>
    <col min="15621" max="15623" width="4.796875" style="61" customWidth="1"/>
    <col min="15624" max="15624" width="10" style="61" customWidth="1"/>
    <col min="15625" max="15625" width="4.796875" style="61" customWidth="1"/>
    <col min="15626" max="15626" width="3.796875" style="61" customWidth="1"/>
    <col min="15627" max="15630" width="4.796875" style="61" customWidth="1"/>
    <col min="15631" max="15631" width="13.19921875" style="61" customWidth="1"/>
    <col min="15632" max="15632" width="13.69921875" style="61" customWidth="1"/>
    <col min="15633" max="15633" width="26.69921875" style="61" customWidth="1"/>
    <col min="15634" max="15635" width="13.69921875" style="61" customWidth="1"/>
    <col min="15636" max="15636" width="1.69921875" style="61" customWidth="1"/>
    <col min="15637" max="15637" width="1.19921875" style="61" customWidth="1"/>
    <col min="15638" max="15638" width="4.796875" style="61" customWidth="1"/>
    <col min="15639" max="15641" width="13.69921875" style="61" customWidth="1"/>
    <col min="15642" max="15645" width="0" style="61" hidden="1" customWidth="1"/>
    <col min="15646" max="15872" width="7.69921875" style="61"/>
    <col min="15873" max="15873" width="3.69921875" style="61" customWidth="1"/>
    <col min="15874" max="15874" width="10.5" style="61" customWidth="1"/>
    <col min="15875" max="15875" width="10" style="61" customWidth="1"/>
    <col min="15876" max="15876" width="6" style="61" customWidth="1"/>
    <col min="15877" max="15879" width="4.796875" style="61" customWidth="1"/>
    <col min="15880" max="15880" width="10" style="61" customWidth="1"/>
    <col min="15881" max="15881" width="4.796875" style="61" customWidth="1"/>
    <col min="15882" max="15882" width="3.796875" style="61" customWidth="1"/>
    <col min="15883" max="15886" width="4.796875" style="61" customWidth="1"/>
    <col min="15887" max="15887" width="13.19921875" style="61" customWidth="1"/>
    <col min="15888" max="15888" width="13.69921875" style="61" customWidth="1"/>
    <col min="15889" max="15889" width="26.69921875" style="61" customWidth="1"/>
    <col min="15890" max="15891" width="13.69921875" style="61" customWidth="1"/>
    <col min="15892" max="15892" width="1.69921875" style="61" customWidth="1"/>
    <col min="15893" max="15893" width="1.19921875" style="61" customWidth="1"/>
    <col min="15894" max="15894" width="4.796875" style="61" customWidth="1"/>
    <col min="15895" max="15897" width="13.69921875" style="61" customWidth="1"/>
    <col min="15898" max="15901" width="0" style="61" hidden="1" customWidth="1"/>
    <col min="15902" max="16128" width="7.69921875" style="61"/>
    <col min="16129" max="16129" width="3.69921875" style="61" customWidth="1"/>
    <col min="16130" max="16130" width="10.5" style="61" customWidth="1"/>
    <col min="16131" max="16131" width="10" style="61" customWidth="1"/>
    <col min="16132" max="16132" width="6" style="61" customWidth="1"/>
    <col min="16133" max="16135" width="4.796875" style="61" customWidth="1"/>
    <col min="16136" max="16136" width="10" style="61" customWidth="1"/>
    <col min="16137" max="16137" width="4.796875" style="61" customWidth="1"/>
    <col min="16138" max="16138" width="3.796875" style="61" customWidth="1"/>
    <col min="16139" max="16142" width="4.796875" style="61" customWidth="1"/>
    <col min="16143" max="16143" width="13.19921875" style="61" customWidth="1"/>
    <col min="16144" max="16144" width="13.69921875" style="61" customWidth="1"/>
    <col min="16145" max="16145" width="26.69921875" style="61" customWidth="1"/>
    <col min="16146" max="16147" width="13.69921875" style="61" customWidth="1"/>
    <col min="16148" max="16148" width="1.69921875" style="61" customWidth="1"/>
    <col min="16149" max="16149" width="1.19921875" style="61" customWidth="1"/>
    <col min="16150" max="16150" width="4.796875" style="61" customWidth="1"/>
    <col min="16151" max="16153" width="13.69921875" style="61" customWidth="1"/>
    <col min="16154" max="16157" width="0" style="61" hidden="1" customWidth="1"/>
    <col min="16158" max="16384" width="7.69921875" style="61"/>
  </cols>
  <sheetData>
    <row r="1" spans="1:26" s="66" customFormat="1" ht="15" customHeight="1">
      <c r="Q1" s="65" t="s">
        <v>392</v>
      </c>
    </row>
    <row r="2" spans="1:26" s="74" customFormat="1" ht="15" customHeight="1">
      <c r="A2" s="75" t="s">
        <v>393</v>
      </c>
      <c r="B2" s="65"/>
      <c r="C2" s="65"/>
      <c r="D2" s="65"/>
      <c r="E2" s="65"/>
      <c r="F2" s="65"/>
      <c r="G2" s="65"/>
      <c r="H2" s="65"/>
      <c r="I2" s="65"/>
      <c r="J2" s="65"/>
      <c r="K2" s="65"/>
      <c r="L2" s="77" t="s">
        <v>969</v>
      </c>
      <c r="M2" s="65"/>
      <c r="N2" s="65"/>
      <c r="O2" s="65"/>
      <c r="P2" s="65"/>
      <c r="Q2" s="159" t="s">
        <v>394</v>
      </c>
      <c r="R2" s="65"/>
      <c r="S2" s="65"/>
      <c r="T2" s="65"/>
      <c r="U2" s="65"/>
      <c r="V2" s="65"/>
      <c r="W2" s="65"/>
      <c r="X2" s="65"/>
      <c r="Y2" s="65"/>
      <c r="Z2" s="65"/>
    </row>
    <row r="3" spans="1:26" s="66" customFormat="1" ht="15" customHeight="1">
      <c r="A3" s="73" t="s">
        <v>395</v>
      </c>
      <c r="B3" s="65"/>
      <c r="C3" s="65"/>
      <c r="D3" s="65"/>
      <c r="E3" s="65"/>
      <c r="F3" s="65"/>
      <c r="G3" s="65"/>
      <c r="H3" s="65"/>
      <c r="I3" s="65"/>
      <c r="J3" s="65"/>
      <c r="K3" s="65"/>
      <c r="L3" s="65"/>
      <c r="M3" s="65"/>
      <c r="N3" s="65"/>
      <c r="O3" s="65"/>
      <c r="P3" s="65"/>
      <c r="Q3" s="65"/>
      <c r="R3" s="65"/>
      <c r="S3" s="65"/>
      <c r="T3" s="65"/>
      <c r="U3" s="65"/>
      <c r="V3" s="65"/>
      <c r="W3" s="65"/>
      <c r="X3" s="65"/>
      <c r="Y3" s="65"/>
      <c r="Z3" s="65"/>
    </row>
    <row r="4" spans="1:26" s="74" customFormat="1" ht="15" customHeight="1">
      <c r="A4" s="75"/>
      <c r="B4" s="631" t="s">
        <v>396</v>
      </c>
      <c r="C4" s="632"/>
      <c r="D4" s="632"/>
      <c r="E4" s="632"/>
      <c r="F4" s="632"/>
      <c r="G4" s="632"/>
      <c r="H4" s="632"/>
      <c r="I4" s="632"/>
      <c r="J4" s="632"/>
      <c r="K4" s="632"/>
      <c r="L4" s="632"/>
      <c r="M4" s="632"/>
      <c r="N4" s="632"/>
      <c r="O4" s="633"/>
      <c r="P4" s="65"/>
      <c r="Q4" s="65"/>
      <c r="R4" s="65"/>
      <c r="S4" s="65"/>
      <c r="T4" s="65"/>
      <c r="U4" s="65"/>
      <c r="V4" s="65"/>
      <c r="W4" s="65"/>
      <c r="X4" s="65"/>
      <c r="Y4" s="65"/>
      <c r="Z4" s="65"/>
    </row>
    <row r="5" spans="1:26" s="74" customFormat="1" ht="19.5" customHeight="1">
      <c r="A5" s="65"/>
      <c r="B5" s="634"/>
      <c r="C5" s="635"/>
      <c r="D5" s="635"/>
      <c r="E5" s="635"/>
      <c r="F5" s="635"/>
      <c r="G5" s="635"/>
      <c r="H5" s="635"/>
      <c r="I5" s="635"/>
      <c r="J5" s="635"/>
      <c r="K5" s="635"/>
      <c r="L5" s="635"/>
      <c r="M5" s="635"/>
      <c r="N5" s="635"/>
      <c r="O5" s="636"/>
      <c r="P5" s="65"/>
      <c r="Q5" s="65"/>
      <c r="R5" s="65"/>
      <c r="S5" s="65"/>
      <c r="T5" s="65"/>
      <c r="U5" s="65"/>
      <c r="V5" s="65"/>
      <c r="W5" s="65"/>
      <c r="X5" s="65"/>
      <c r="Y5" s="65"/>
      <c r="Z5" s="65"/>
    </row>
    <row r="6" spans="1:26" s="66" customFormat="1" ht="11.25" customHeight="1">
      <c r="A6" s="70"/>
      <c r="B6" s="65"/>
      <c r="C6" s="65"/>
      <c r="D6" s="65"/>
      <c r="E6" s="65"/>
      <c r="F6" s="65"/>
      <c r="G6" s="65"/>
      <c r="H6" s="65"/>
      <c r="I6" s="65"/>
      <c r="J6" s="65"/>
      <c r="K6" s="65"/>
      <c r="L6" s="65"/>
      <c r="M6" s="65"/>
      <c r="N6" s="65"/>
      <c r="O6" s="65"/>
      <c r="P6" s="65"/>
      <c r="Q6" s="65"/>
      <c r="R6" s="65"/>
      <c r="S6" s="65"/>
      <c r="T6" s="65"/>
      <c r="U6" s="65"/>
      <c r="V6" s="65"/>
      <c r="W6" s="65"/>
      <c r="X6" s="65"/>
      <c r="Y6" s="65"/>
      <c r="Z6" s="65"/>
    </row>
    <row r="7" spans="1:26" s="65" customFormat="1" ht="3.75" customHeight="1">
      <c r="A7" s="271"/>
      <c r="B7" s="274"/>
      <c r="C7" s="274"/>
      <c r="D7" s="274"/>
      <c r="E7" s="274"/>
      <c r="F7" s="274"/>
      <c r="G7" s="274"/>
      <c r="H7" s="274"/>
      <c r="I7" s="274"/>
      <c r="J7" s="274"/>
      <c r="K7" s="274"/>
      <c r="L7" s="274"/>
      <c r="M7" s="274"/>
      <c r="N7" s="274"/>
      <c r="O7" s="274"/>
    </row>
    <row r="8" spans="1:26" s="66" customFormat="1" ht="15.75" customHeight="1" thickBot="1">
      <c r="A8" s="273">
        <v>1</v>
      </c>
      <c r="B8" s="274" t="s">
        <v>397</v>
      </c>
      <c r="C8" s="637"/>
      <c r="D8" s="637"/>
      <c r="E8" s="637"/>
      <c r="F8" s="637"/>
      <c r="G8" s="637"/>
      <c r="H8" s="637"/>
      <c r="I8" s="637"/>
      <c r="J8" s="637"/>
      <c r="K8" s="637"/>
      <c r="L8" s="637"/>
      <c r="M8" s="637"/>
      <c r="N8" s="637"/>
      <c r="O8" s="274"/>
      <c r="P8" s="65"/>
      <c r="Q8" s="620" t="s">
        <v>971</v>
      </c>
      <c r="R8" s="620"/>
      <c r="S8" s="620"/>
      <c r="T8" s="620"/>
      <c r="U8" s="620"/>
      <c r="V8" s="65"/>
      <c r="W8" s="65"/>
      <c r="X8" s="65"/>
      <c r="Y8" s="65"/>
      <c r="Z8" s="65"/>
    </row>
    <row r="9" spans="1:26" s="66" customFormat="1" ht="15.75" customHeight="1">
      <c r="A9" s="271"/>
      <c r="B9" s="274" t="s">
        <v>398</v>
      </c>
      <c r="C9" s="639"/>
      <c r="D9" s="639"/>
      <c r="E9" s="639"/>
      <c r="F9" s="639"/>
      <c r="G9" s="639"/>
      <c r="H9" s="639"/>
      <c r="I9" s="639"/>
      <c r="J9" s="639"/>
      <c r="K9" s="639"/>
      <c r="L9" s="639"/>
      <c r="M9" s="639"/>
      <c r="N9" s="639"/>
      <c r="O9" s="274"/>
      <c r="P9" s="65"/>
      <c r="Q9" s="620"/>
      <c r="R9" s="620"/>
      <c r="S9" s="620"/>
      <c r="T9" s="620"/>
      <c r="U9" s="620"/>
      <c r="V9" s="65"/>
      <c r="W9" s="65"/>
      <c r="X9" s="65"/>
      <c r="Y9" s="65"/>
      <c r="Z9" s="65"/>
    </row>
    <row r="10" spans="1:26" s="161" customFormat="1" ht="5.25" customHeight="1" thickBot="1">
      <c r="A10" s="346"/>
      <c r="B10" s="339"/>
      <c r="C10" s="339"/>
      <c r="D10" s="339"/>
      <c r="E10" s="339"/>
      <c r="F10" s="339"/>
      <c r="G10" s="339"/>
      <c r="H10" s="339"/>
      <c r="I10" s="339"/>
      <c r="J10" s="339"/>
      <c r="K10" s="339"/>
      <c r="L10" s="339"/>
      <c r="M10" s="339"/>
      <c r="N10" s="339"/>
      <c r="O10" s="339"/>
      <c r="P10" s="160"/>
      <c r="Q10" s="160"/>
      <c r="R10" s="160"/>
      <c r="S10" s="160"/>
      <c r="T10" s="160"/>
      <c r="U10" s="160"/>
      <c r="V10" s="160"/>
      <c r="W10" s="160"/>
      <c r="X10" s="160"/>
      <c r="Y10" s="160"/>
      <c r="Z10" s="160"/>
    </row>
    <row r="11" spans="1:26" s="66" customFormat="1" ht="15.75" customHeight="1" thickTop="1" thickBot="1">
      <c r="A11" s="273">
        <v>2</v>
      </c>
      <c r="B11" s="597" t="s">
        <v>399</v>
      </c>
      <c r="C11" s="597"/>
      <c r="D11" s="358"/>
      <c r="E11" s="358"/>
      <c r="F11" s="358"/>
      <c r="G11" s="358"/>
      <c r="H11" s="358"/>
      <c r="I11" s="358"/>
      <c r="J11" s="358"/>
      <c r="K11" s="358"/>
      <c r="L11" s="274"/>
      <c r="M11" s="274"/>
      <c r="N11" s="274"/>
      <c r="O11" s="274"/>
      <c r="P11" s="65"/>
      <c r="Q11" s="65"/>
      <c r="R11" s="65"/>
      <c r="S11" s="65"/>
      <c r="T11" s="65"/>
      <c r="U11" s="65"/>
      <c r="V11" s="65"/>
      <c r="W11" s="65"/>
      <c r="X11" s="65"/>
      <c r="Y11" s="65"/>
      <c r="Z11" s="65"/>
    </row>
    <row r="12" spans="1:26" s="66" customFormat="1" ht="15.75" customHeight="1" thickBot="1">
      <c r="A12" s="271"/>
      <c r="B12" s="274" t="s">
        <v>400</v>
      </c>
      <c r="C12" s="274"/>
      <c r="D12" s="274"/>
      <c r="E12" s="638"/>
      <c r="F12" s="638"/>
      <c r="G12" s="638"/>
      <c r="H12" s="638"/>
      <c r="I12" s="638"/>
      <c r="J12" s="638"/>
      <c r="K12" s="638"/>
      <c r="L12" s="638"/>
      <c r="M12" s="638"/>
      <c r="N12" s="638"/>
      <c r="O12" s="274"/>
      <c r="P12" s="65"/>
      <c r="Q12" s="65"/>
      <c r="R12" s="65"/>
      <c r="S12" s="65"/>
      <c r="T12" s="65"/>
      <c r="U12" s="65"/>
      <c r="V12" s="65"/>
      <c r="W12" s="65"/>
      <c r="X12" s="65"/>
      <c r="Y12" s="65"/>
      <c r="Z12" s="65"/>
    </row>
    <row r="13" spans="1:26" s="66" customFormat="1" ht="15.75" customHeight="1" thickBot="1">
      <c r="A13" s="271"/>
      <c r="B13" s="274" t="s">
        <v>157</v>
      </c>
      <c r="C13" s="274"/>
      <c r="D13" s="274"/>
      <c r="E13" s="638"/>
      <c r="F13" s="638"/>
      <c r="G13" s="638"/>
      <c r="H13" s="638"/>
      <c r="I13" s="638"/>
      <c r="J13" s="638"/>
      <c r="K13" s="638"/>
      <c r="L13" s="638"/>
      <c r="M13" s="638"/>
      <c r="N13" s="638"/>
      <c r="O13" s="274"/>
      <c r="P13" s="65"/>
      <c r="Q13" s="65"/>
      <c r="R13" s="65"/>
      <c r="S13" s="65"/>
      <c r="T13" s="65"/>
      <c r="U13" s="65"/>
      <c r="V13" s="65"/>
      <c r="W13" s="65"/>
      <c r="X13" s="65"/>
      <c r="Y13" s="65"/>
      <c r="Z13" s="65"/>
    </row>
    <row r="14" spans="1:26" s="66" customFormat="1" ht="15.75" customHeight="1" thickBot="1">
      <c r="A14" s="271"/>
      <c r="B14" s="274" t="s">
        <v>401</v>
      </c>
      <c r="C14" s="274"/>
      <c r="D14" s="274"/>
      <c r="E14" s="638"/>
      <c r="F14" s="638"/>
      <c r="G14" s="638"/>
      <c r="H14" s="638"/>
      <c r="I14" s="638"/>
      <c r="J14" s="638"/>
      <c r="K14" s="638"/>
      <c r="L14" s="638"/>
      <c r="M14" s="638"/>
      <c r="N14" s="638"/>
      <c r="O14" s="274"/>
      <c r="P14" s="65"/>
      <c r="Q14" s="65"/>
      <c r="R14" s="65"/>
      <c r="S14" s="65"/>
      <c r="T14" s="65"/>
      <c r="U14" s="65"/>
      <c r="V14" s="65"/>
      <c r="W14" s="65"/>
      <c r="X14" s="65"/>
      <c r="Y14" s="65"/>
      <c r="Z14" s="65"/>
    </row>
    <row r="15" spans="1:26" s="66" customFormat="1" ht="15.75" customHeight="1" thickBot="1">
      <c r="A15" s="271"/>
      <c r="B15" s="274" t="s">
        <v>402</v>
      </c>
      <c r="C15" s="274"/>
      <c r="D15" s="274"/>
      <c r="E15" s="638"/>
      <c r="F15" s="638"/>
      <c r="G15" s="638"/>
      <c r="H15" s="638"/>
      <c r="I15" s="638"/>
      <c r="J15" s="638"/>
      <c r="K15" s="638"/>
      <c r="L15" s="638"/>
      <c r="M15" s="638"/>
      <c r="N15" s="638"/>
      <c r="O15" s="274"/>
      <c r="P15" s="65"/>
      <c r="Q15" s="65"/>
      <c r="R15" s="65"/>
      <c r="S15" s="65"/>
      <c r="T15" s="65"/>
      <c r="U15" s="65"/>
      <c r="V15" s="65"/>
      <c r="W15" s="65"/>
      <c r="X15" s="65"/>
      <c r="Y15" s="65"/>
      <c r="Z15" s="65"/>
    </row>
    <row r="16" spans="1:26" s="66" customFormat="1" ht="15.75" customHeight="1" thickBot="1">
      <c r="A16" s="271"/>
      <c r="B16" s="274" t="s">
        <v>403</v>
      </c>
      <c r="C16" s="274"/>
      <c r="D16" s="274"/>
      <c r="E16" s="638"/>
      <c r="F16" s="638"/>
      <c r="G16" s="638"/>
      <c r="H16" s="638"/>
      <c r="I16" s="638"/>
      <c r="J16" s="638"/>
      <c r="K16" s="638"/>
      <c r="L16" s="638"/>
      <c r="M16" s="638"/>
      <c r="N16" s="638"/>
      <c r="O16" s="274"/>
      <c r="P16" s="65"/>
      <c r="Q16" s="65"/>
      <c r="R16" s="65"/>
      <c r="S16" s="65"/>
      <c r="T16" s="65"/>
      <c r="U16" s="65"/>
      <c r="V16" s="65"/>
      <c r="W16" s="65"/>
      <c r="X16" s="65"/>
      <c r="Y16" s="65"/>
      <c r="Z16" s="65"/>
    </row>
    <row r="17" spans="1:26" s="66" customFormat="1" ht="3.75" customHeight="1" thickBot="1">
      <c r="A17" s="346"/>
      <c r="B17" s="339"/>
      <c r="C17" s="339"/>
      <c r="D17" s="339"/>
      <c r="E17" s="339"/>
      <c r="F17" s="339"/>
      <c r="G17" s="339"/>
      <c r="H17" s="347"/>
      <c r="I17" s="347"/>
      <c r="J17" s="347"/>
      <c r="K17" s="347"/>
      <c r="L17" s="347"/>
      <c r="M17" s="347"/>
      <c r="N17" s="347"/>
      <c r="O17" s="339"/>
      <c r="P17" s="65"/>
      <c r="Q17" s="65"/>
      <c r="R17" s="65"/>
      <c r="S17" s="65"/>
      <c r="T17" s="65"/>
      <c r="U17" s="65"/>
      <c r="V17" s="65"/>
      <c r="W17" s="65"/>
      <c r="X17" s="65"/>
      <c r="Y17" s="65"/>
      <c r="Z17" s="65"/>
    </row>
    <row r="18" spans="1:26" s="66" customFormat="1" ht="15.75" customHeight="1" thickTop="1">
      <c r="A18" s="273">
        <v>3</v>
      </c>
      <c r="B18" s="274" t="s">
        <v>176</v>
      </c>
      <c r="C18" s="358"/>
      <c r="D18" s="358"/>
      <c r="E18" s="364"/>
      <c r="F18" s="364"/>
      <c r="G18" s="364"/>
      <c r="H18" s="364"/>
      <c r="I18" s="364"/>
      <c r="J18" s="364"/>
      <c r="K18" s="364"/>
      <c r="L18" s="364"/>
      <c r="M18" s="364"/>
      <c r="N18" s="364"/>
      <c r="O18" s="274"/>
      <c r="P18" s="65"/>
      <c r="Q18" s="65"/>
      <c r="R18" s="65"/>
      <c r="S18" s="65"/>
      <c r="T18" s="65"/>
      <c r="U18" s="65"/>
      <c r="V18" s="65"/>
      <c r="W18" s="65"/>
      <c r="X18" s="65"/>
      <c r="Y18" s="65"/>
      <c r="Z18" s="65"/>
    </row>
    <row r="19" spans="1:26" s="66" customFormat="1" ht="15.75" customHeight="1">
      <c r="A19" s="271"/>
      <c r="B19" s="274" t="s">
        <v>404</v>
      </c>
      <c r="C19" s="274"/>
      <c r="D19" s="274"/>
      <c r="E19" s="650"/>
      <c r="F19" s="650"/>
      <c r="G19" s="650"/>
      <c r="H19" s="650"/>
      <c r="I19" s="650"/>
      <c r="J19" s="650"/>
      <c r="K19" s="650"/>
      <c r="L19" s="650"/>
      <c r="M19" s="650"/>
      <c r="N19" s="650"/>
      <c r="O19" s="274"/>
      <c r="P19" s="65"/>
      <c r="Q19" s="65"/>
      <c r="R19" s="65"/>
      <c r="S19" s="65"/>
      <c r="T19" s="65"/>
      <c r="U19" s="65"/>
      <c r="V19" s="65"/>
      <c r="W19" s="65"/>
      <c r="X19" s="65"/>
      <c r="Y19" s="65"/>
      <c r="Z19" s="65"/>
    </row>
    <row r="20" spans="1:26" s="66" customFormat="1" ht="4.5" customHeight="1" thickBot="1">
      <c r="A20" s="346"/>
      <c r="B20" s="339"/>
      <c r="C20" s="339"/>
      <c r="D20" s="339"/>
      <c r="E20" s="339"/>
      <c r="F20" s="339"/>
      <c r="G20" s="339"/>
      <c r="H20" s="347"/>
      <c r="I20" s="347"/>
      <c r="J20" s="347"/>
      <c r="K20" s="347"/>
      <c r="L20" s="347"/>
      <c r="M20" s="347"/>
      <c r="N20" s="347"/>
      <c r="O20" s="339"/>
      <c r="P20" s="65"/>
      <c r="Q20" s="65"/>
      <c r="R20" s="65"/>
      <c r="S20" s="65"/>
      <c r="T20" s="65"/>
      <c r="U20" s="65"/>
      <c r="V20" s="65"/>
      <c r="W20" s="65"/>
      <c r="X20" s="65"/>
      <c r="Y20" s="65"/>
      <c r="Z20" s="65"/>
    </row>
    <row r="21" spans="1:26" s="66" customFormat="1" ht="15.75" customHeight="1" thickTop="1">
      <c r="A21" s="273">
        <v>4</v>
      </c>
      <c r="B21" s="649" t="s">
        <v>405</v>
      </c>
      <c r="C21" s="649"/>
      <c r="D21" s="358"/>
      <c r="E21" s="358"/>
      <c r="F21" s="358"/>
      <c r="G21" s="358"/>
      <c r="H21" s="358"/>
      <c r="I21" s="358"/>
      <c r="J21" s="358"/>
      <c r="K21" s="358"/>
      <c r="L21" s="358"/>
      <c r="M21" s="358"/>
      <c r="N21" s="358"/>
      <c r="O21" s="274"/>
      <c r="P21" s="65"/>
      <c r="Q21" s="65"/>
      <c r="R21" s="65"/>
      <c r="S21" s="65"/>
      <c r="T21" s="65"/>
      <c r="U21" s="65"/>
      <c r="V21" s="65"/>
      <c r="W21" s="65"/>
      <c r="X21" s="65"/>
      <c r="Y21" s="65"/>
      <c r="Z21" s="65"/>
    </row>
    <row r="22" spans="1:26" s="66" customFormat="1" ht="15.75" customHeight="1" thickBot="1">
      <c r="A22" s="271"/>
      <c r="B22" s="274" t="s">
        <v>406</v>
      </c>
      <c r="C22" s="274"/>
      <c r="D22" s="274"/>
      <c r="E22" s="642"/>
      <c r="F22" s="642"/>
      <c r="G22" s="642"/>
      <c r="H22" s="642"/>
      <c r="I22" s="642"/>
      <c r="J22" s="642"/>
      <c r="K22" s="642"/>
      <c r="L22" s="642"/>
      <c r="M22" s="642"/>
      <c r="N22" s="642"/>
      <c r="O22" s="274"/>
      <c r="P22" s="65"/>
      <c r="Q22" s="65"/>
      <c r="R22" s="65"/>
      <c r="S22" s="65"/>
      <c r="T22" s="65"/>
      <c r="U22" s="65"/>
      <c r="V22" s="65"/>
      <c r="W22" s="65"/>
      <c r="X22" s="65"/>
      <c r="Y22" s="65"/>
      <c r="Z22" s="65"/>
    </row>
    <row r="23" spans="1:26" s="66" customFormat="1" ht="15.75" customHeight="1">
      <c r="A23" s="271"/>
      <c r="B23" s="274" t="s">
        <v>407</v>
      </c>
      <c r="C23" s="274"/>
      <c r="D23" s="274"/>
      <c r="E23" s="643"/>
      <c r="F23" s="644"/>
      <c r="G23" s="644"/>
      <c r="H23" s="644"/>
      <c r="I23" s="644"/>
      <c r="J23" s="644"/>
      <c r="K23" s="644"/>
      <c r="L23" s="644"/>
      <c r="M23" s="644"/>
      <c r="N23" s="645"/>
      <c r="O23" s="274"/>
      <c r="P23" s="65"/>
      <c r="Q23" s="65"/>
      <c r="R23" s="65"/>
      <c r="S23" s="65"/>
      <c r="T23" s="65"/>
      <c r="U23" s="65"/>
      <c r="V23" s="65"/>
      <c r="W23" s="65"/>
      <c r="X23" s="65"/>
      <c r="Y23" s="65"/>
      <c r="Z23" s="65"/>
    </row>
    <row r="24" spans="1:26" s="66" customFormat="1" ht="3.75" customHeight="1" thickBot="1">
      <c r="A24" s="346"/>
      <c r="B24" s="339"/>
      <c r="C24" s="339"/>
      <c r="D24" s="339"/>
      <c r="E24" s="339"/>
      <c r="F24" s="339"/>
      <c r="G24" s="339"/>
      <c r="H24" s="347"/>
      <c r="I24" s="347"/>
      <c r="J24" s="347"/>
      <c r="K24" s="347"/>
      <c r="L24" s="347"/>
      <c r="M24" s="347"/>
      <c r="N24" s="347"/>
      <c r="O24" s="339"/>
      <c r="P24" s="65"/>
      <c r="Q24" s="65"/>
      <c r="R24" s="65"/>
      <c r="S24" s="65"/>
      <c r="T24" s="65"/>
      <c r="U24" s="65"/>
      <c r="V24" s="65"/>
      <c r="W24" s="65"/>
      <c r="X24" s="65"/>
      <c r="Y24" s="65"/>
      <c r="Z24" s="65"/>
    </row>
    <row r="25" spans="1:26" s="66" customFormat="1" ht="15.75" customHeight="1" thickTop="1">
      <c r="A25" s="273">
        <v>5</v>
      </c>
      <c r="B25" s="274" t="s">
        <v>408</v>
      </c>
      <c r="C25" s="358"/>
      <c r="D25" s="358"/>
      <c r="E25" s="358"/>
      <c r="F25" s="358"/>
      <c r="G25" s="358"/>
      <c r="H25" s="358"/>
      <c r="I25" s="359"/>
      <c r="J25" s="358"/>
      <c r="K25" s="358"/>
      <c r="L25" s="358"/>
      <c r="M25" s="358"/>
      <c r="N25" s="358"/>
      <c r="O25" s="358"/>
      <c r="P25" s="65"/>
      <c r="Q25" s="65"/>
      <c r="R25" s="65"/>
      <c r="S25" s="65"/>
      <c r="T25" s="65"/>
      <c r="U25" s="65"/>
      <c r="V25" s="65"/>
      <c r="W25" s="65"/>
      <c r="X25" s="65"/>
      <c r="Y25" s="65"/>
      <c r="Z25" s="65"/>
    </row>
    <row r="26" spans="1:26" s="66" customFormat="1" ht="15.75" customHeight="1">
      <c r="A26" s="271"/>
      <c r="B26" s="274" t="s">
        <v>409</v>
      </c>
      <c r="C26" s="274"/>
      <c r="D26" s="274"/>
      <c r="E26" s="274"/>
      <c r="F26" s="274"/>
      <c r="G26" s="274"/>
      <c r="H26" s="360" t="s">
        <v>410</v>
      </c>
      <c r="I26" s="646"/>
      <c r="J26" s="647"/>
      <c r="K26" s="648"/>
      <c r="L26" s="647"/>
      <c r="M26" s="647"/>
      <c r="N26" s="647"/>
      <c r="O26" s="365"/>
      <c r="P26" s="65"/>
      <c r="Q26" s="602" t="s">
        <v>972</v>
      </c>
      <c r="R26" s="603"/>
      <c r="S26" s="603"/>
      <c r="T26" s="603"/>
      <c r="U26" s="604"/>
      <c r="V26" s="65"/>
      <c r="W26" s="65"/>
      <c r="X26" s="65"/>
      <c r="Y26" s="65"/>
      <c r="Z26" s="65"/>
    </row>
    <row r="27" spans="1:26" s="66" customFormat="1" ht="15.75" customHeight="1">
      <c r="A27" s="271"/>
      <c r="B27" s="274" t="s">
        <v>411</v>
      </c>
      <c r="C27" s="274"/>
      <c r="D27" s="274"/>
      <c r="E27" s="274"/>
      <c r="F27" s="274"/>
      <c r="G27" s="274"/>
      <c r="H27" s="324"/>
      <c r="I27" s="651"/>
      <c r="J27" s="652"/>
      <c r="K27" s="652"/>
      <c r="L27" s="652"/>
      <c r="M27" s="652"/>
      <c r="N27" s="652"/>
      <c r="O27" s="366"/>
      <c r="P27" s="65"/>
      <c r="Q27" s="65"/>
      <c r="R27" s="65"/>
      <c r="S27" s="65"/>
      <c r="T27" s="65"/>
      <c r="U27" s="65"/>
      <c r="V27" s="65"/>
      <c r="W27" s="65"/>
      <c r="X27" s="65"/>
      <c r="Y27" s="65"/>
      <c r="Z27" s="65"/>
    </row>
    <row r="28" spans="1:26" s="66" customFormat="1" ht="15.75" customHeight="1">
      <c r="A28" s="271"/>
      <c r="B28" s="274" t="s">
        <v>412</v>
      </c>
      <c r="C28" s="274"/>
      <c r="D28" s="274"/>
      <c r="E28" s="274"/>
      <c r="F28" s="274"/>
      <c r="G28" s="274"/>
      <c r="H28" s="324"/>
      <c r="I28" s="630"/>
      <c r="J28" s="621"/>
      <c r="K28" s="621"/>
      <c r="L28" s="621"/>
      <c r="M28" s="621"/>
      <c r="N28" s="621"/>
      <c r="O28" s="366"/>
      <c r="P28" s="65"/>
      <c r="Q28" s="65"/>
      <c r="R28" s="65"/>
      <c r="S28" s="65"/>
      <c r="T28" s="65"/>
      <c r="U28" s="65"/>
      <c r="V28" s="65"/>
      <c r="W28" s="65"/>
      <c r="X28" s="65"/>
      <c r="Y28" s="65"/>
      <c r="Z28" s="65"/>
    </row>
    <row r="29" spans="1:26" s="66" customFormat="1" ht="15.75" customHeight="1">
      <c r="A29" s="271"/>
      <c r="B29" s="271" t="s">
        <v>134</v>
      </c>
      <c r="C29" s="274"/>
      <c r="D29" s="274"/>
      <c r="E29" s="274"/>
      <c r="F29" s="274"/>
      <c r="G29" s="274"/>
      <c r="H29" s="324"/>
      <c r="I29" s="628">
        <v>0.04</v>
      </c>
      <c r="J29" s="629"/>
      <c r="K29" s="629"/>
      <c r="L29" s="629"/>
      <c r="M29" s="629"/>
      <c r="N29" s="629"/>
      <c r="O29" s="366"/>
      <c r="P29" s="65"/>
      <c r="Q29" s="65"/>
      <c r="R29" s="65"/>
      <c r="S29" s="65"/>
      <c r="T29" s="65"/>
      <c r="U29" s="65"/>
      <c r="V29" s="65"/>
      <c r="W29" s="65"/>
      <c r="X29" s="65"/>
      <c r="Y29" s="65"/>
      <c r="Z29" s="65"/>
    </row>
    <row r="30" spans="1:26" s="66" customFormat="1" ht="3.75" customHeight="1" thickBot="1">
      <c r="A30" s="346"/>
      <c r="B30" s="339"/>
      <c r="C30" s="339"/>
      <c r="D30" s="339"/>
      <c r="E30" s="339"/>
      <c r="F30" s="339"/>
      <c r="G30" s="339"/>
      <c r="H30" s="347"/>
      <c r="I30" s="367"/>
      <c r="J30" s="347"/>
      <c r="K30" s="347"/>
      <c r="L30" s="347"/>
      <c r="M30" s="347"/>
      <c r="N30" s="347"/>
      <c r="O30" s="368"/>
      <c r="P30" s="65"/>
      <c r="Q30" s="65"/>
      <c r="R30" s="65"/>
      <c r="S30" s="65"/>
      <c r="T30" s="65"/>
      <c r="U30" s="65"/>
      <c r="V30" s="65"/>
      <c r="W30" s="65"/>
      <c r="X30" s="65"/>
      <c r="Y30" s="65"/>
      <c r="Z30" s="65"/>
    </row>
    <row r="31" spans="1:26" s="66" customFormat="1" ht="15.75" customHeight="1" thickTop="1">
      <c r="A31" s="273">
        <v>6</v>
      </c>
      <c r="B31" s="597" t="s">
        <v>413</v>
      </c>
      <c r="C31" s="597"/>
      <c r="D31" s="358"/>
      <c r="E31" s="358"/>
      <c r="F31" s="358"/>
      <c r="G31" s="358"/>
      <c r="H31" s="353"/>
      <c r="I31" s="369"/>
      <c r="J31" s="358"/>
      <c r="K31" s="358"/>
      <c r="L31" s="358"/>
      <c r="M31" s="358"/>
      <c r="N31" s="358"/>
      <c r="O31" s="370"/>
      <c r="P31" s="65"/>
      <c r="Q31" s="65"/>
      <c r="R31" s="65"/>
      <c r="S31" s="65"/>
      <c r="T31" s="65"/>
      <c r="U31" s="65"/>
      <c r="V31" s="65"/>
      <c r="W31" s="65"/>
      <c r="X31" s="65"/>
      <c r="Y31" s="65"/>
      <c r="Z31" s="65"/>
    </row>
    <row r="32" spans="1:26" s="66" customFormat="1" ht="15.75" customHeight="1">
      <c r="A32" s="273"/>
      <c r="B32" s="274" t="s">
        <v>414</v>
      </c>
      <c r="C32" s="274"/>
      <c r="D32" s="274"/>
      <c r="E32" s="274"/>
      <c r="F32" s="274"/>
      <c r="G32" s="274"/>
      <c r="H32" s="324"/>
      <c r="I32" s="625"/>
      <c r="J32" s="619"/>
      <c r="K32" s="619"/>
      <c r="L32" s="619"/>
      <c r="M32" s="619"/>
      <c r="N32" s="619"/>
      <c r="O32" s="371"/>
      <c r="P32" s="65"/>
      <c r="Q32" s="65"/>
      <c r="R32" s="65"/>
      <c r="S32" s="65"/>
      <c r="T32" s="65"/>
      <c r="U32" s="65"/>
      <c r="V32" s="65"/>
      <c r="W32" s="65"/>
      <c r="X32" s="65"/>
      <c r="Y32" s="65"/>
      <c r="Z32" s="65"/>
    </row>
    <row r="33" spans="1:29" s="66" customFormat="1" ht="15.75" customHeight="1">
      <c r="A33" s="273"/>
      <c r="B33" s="274" t="s">
        <v>415</v>
      </c>
      <c r="C33" s="274"/>
      <c r="D33" s="274"/>
      <c r="E33" s="274"/>
      <c r="F33" s="274"/>
      <c r="G33" s="274"/>
      <c r="H33" s="376" t="s">
        <v>410</v>
      </c>
      <c r="I33" s="626"/>
      <c r="J33" s="627"/>
      <c r="K33" s="627"/>
      <c r="L33" s="627"/>
      <c r="M33" s="627"/>
      <c r="N33" s="627"/>
      <c r="O33" s="372"/>
      <c r="P33" s="65"/>
      <c r="Q33" s="602" t="s">
        <v>973</v>
      </c>
      <c r="R33" s="603"/>
      <c r="S33" s="603"/>
      <c r="T33" s="603"/>
      <c r="U33" s="604"/>
      <c r="V33" s="65"/>
      <c r="W33" s="65"/>
      <c r="X33" s="65"/>
      <c r="Y33" s="65"/>
      <c r="Z33" s="65"/>
    </row>
    <row r="34" spans="1:29" s="66" customFormat="1" ht="15.75" customHeight="1">
      <c r="A34" s="273"/>
      <c r="B34" s="274" t="s">
        <v>416</v>
      </c>
      <c r="C34" s="274"/>
      <c r="D34" s="274"/>
      <c r="E34" s="274"/>
      <c r="F34" s="274"/>
      <c r="G34" s="274"/>
      <c r="H34" s="360"/>
      <c r="I34" s="617"/>
      <c r="J34" s="618"/>
      <c r="K34" s="618"/>
      <c r="L34" s="618"/>
      <c r="M34" s="373"/>
      <c r="N34" s="373"/>
      <c r="O34" s="374"/>
      <c r="P34" s="65"/>
      <c r="Q34" s="602" t="s">
        <v>974</v>
      </c>
      <c r="R34" s="603"/>
      <c r="S34" s="603"/>
      <c r="T34" s="603"/>
      <c r="U34" s="604"/>
      <c r="V34" s="65"/>
      <c r="W34" s="65"/>
      <c r="X34" s="65"/>
      <c r="Y34" s="65"/>
      <c r="Z34" s="65"/>
    </row>
    <row r="35" spans="1:29" s="66" customFormat="1" ht="3.75" customHeight="1" thickBot="1">
      <c r="A35" s="346"/>
      <c r="B35" s="339"/>
      <c r="C35" s="339"/>
      <c r="D35" s="339"/>
      <c r="E35" s="339"/>
      <c r="F35" s="339"/>
      <c r="G35" s="339"/>
      <c r="H35" s="347"/>
      <c r="I35" s="347"/>
      <c r="J35" s="347"/>
      <c r="K35" s="347"/>
      <c r="L35" s="347"/>
      <c r="M35" s="347"/>
      <c r="N35" s="347"/>
      <c r="O35" s="339"/>
      <c r="P35" s="65"/>
      <c r="Q35" s="65"/>
      <c r="R35" s="65"/>
      <c r="S35" s="65"/>
      <c r="T35" s="65"/>
      <c r="U35" s="65"/>
      <c r="V35" s="65"/>
      <c r="W35" s="65"/>
      <c r="X35" s="65"/>
      <c r="Y35" s="65"/>
      <c r="Z35" s="65"/>
    </row>
    <row r="36" spans="1:29" s="66" customFormat="1" ht="15.75" customHeight="1" thickTop="1">
      <c r="A36" s="273">
        <v>7</v>
      </c>
      <c r="B36" s="607" t="s">
        <v>417</v>
      </c>
      <c r="C36" s="607"/>
      <c r="D36" s="607"/>
      <c r="E36" s="358"/>
      <c r="F36" s="358"/>
      <c r="G36" s="358"/>
      <c r="H36" s="353"/>
      <c r="I36" s="359"/>
      <c r="J36" s="358"/>
      <c r="K36" s="358"/>
      <c r="L36" s="358"/>
      <c r="M36" s="358"/>
      <c r="N36" s="358"/>
      <c r="O36" s="358"/>
      <c r="P36" s="65"/>
      <c r="Q36" s="65"/>
      <c r="R36" s="65"/>
      <c r="S36" s="65"/>
      <c r="T36" s="65"/>
      <c r="U36" s="65"/>
      <c r="V36" s="65"/>
      <c r="W36" s="65"/>
      <c r="X36" s="65"/>
      <c r="Y36" s="65"/>
      <c r="Z36" s="65"/>
    </row>
    <row r="37" spans="1:29" s="66" customFormat="1" ht="15.75" customHeight="1">
      <c r="A37" s="273"/>
      <c r="B37" s="274" t="s">
        <v>418</v>
      </c>
      <c r="C37" s="274"/>
      <c r="D37" s="274"/>
      <c r="E37" s="274"/>
      <c r="F37" s="274"/>
      <c r="G37" s="274"/>
      <c r="H37" s="274"/>
      <c r="I37" s="608"/>
      <c r="J37" s="608"/>
      <c r="K37" s="358"/>
      <c r="L37" s="324" t="s">
        <v>419</v>
      </c>
      <c r="M37" s="609"/>
      <c r="N37" s="609"/>
      <c r="O37" s="274"/>
      <c r="P37" s="65"/>
      <c r="Q37" s="610" t="s">
        <v>975</v>
      </c>
      <c r="R37" s="611"/>
      <c r="S37" s="611"/>
      <c r="T37" s="611"/>
      <c r="U37" s="612"/>
      <c r="V37" s="65"/>
      <c r="W37" s="65"/>
      <c r="X37" s="65"/>
      <c r="Y37" s="65"/>
      <c r="Z37" s="65"/>
    </row>
    <row r="38" spans="1:29" s="66" customFormat="1" ht="15.75" customHeight="1">
      <c r="A38" s="273"/>
      <c r="B38" s="274" t="s">
        <v>420</v>
      </c>
      <c r="C38" s="274"/>
      <c r="D38" s="274"/>
      <c r="E38" s="274"/>
      <c r="F38" s="361"/>
      <c r="G38" s="274"/>
      <c r="H38" s="360"/>
      <c r="I38" s="616"/>
      <c r="J38" s="616"/>
      <c r="K38" s="616"/>
      <c r="L38" s="616"/>
      <c r="M38" s="375" t="s">
        <v>421</v>
      </c>
      <c r="N38" s="375"/>
      <c r="O38" s="274"/>
      <c r="P38" s="65"/>
      <c r="Q38" s="613"/>
      <c r="R38" s="614"/>
      <c r="S38" s="614"/>
      <c r="T38" s="614"/>
      <c r="U38" s="615"/>
      <c r="V38" s="65"/>
      <c r="W38" s="65"/>
      <c r="X38" s="65"/>
      <c r="Y38" s="65"/>
      <c r="Z38" s="65"/>
    </row>
    <row r="39" spans="1:29" s="66" customFormat="1" ht="15.75" customHeight="1">
      <c r="A39" s="273"/>
      <c r="B39" s="274" t="s">
        <v>422</v>
      </c>
      <c r="C39" s="274"/>
      <c r="D39" s="274"/>
      <c r="E39" s="274"/>
      <c r="F39" s="274"/>
      <c r="G39" s="274"/>
      <c r="H39" s="360"/>
      <c r="I39" s="619"/>
      <c r="J39" s="619"/>
      <c r="K39" s="619"/>
      <c r="L39" s="619"/>
      <c r="M39" s="274" t="s">
        <v>190</v>
      </c>
      <c r="N39" s="274"/>
      <c r="O39" s="274"/>
      <c r="P39" s="65"/>
      <c r="Q39" s="620" t="s">
        <v>976</v>
      </c>
      <c r="R39" s="620"/>
      <c r="S39" s="620"/>
      <c r="T39" s="620"/>
      <c r="U39" s="620"/>
      <c r="V39" s="65"/>
      <c r="W39" s="65"/>
      <c r="X39" s="65"/>
      <c r="Y39" s="65"/>
      <c r="Z39" s="65"/>
    </row>
    <row r="40" spans="1:29" s="66" customFormat="1" ht="15.75" customHeight="1">
      <c r="A40" s="273"/>
      <c r="B40" s="274" t="s">
        <v>423</v>
      </c>
      <c r="C40" s="274"/>
      <c r="D40" s="274"/>
      <c r="E40" s="274"/>
      <c r="F40" s="274"/>
      <c r="G40" s="274"/>
      <c r="H40" s="360"/>
      <c r="I40" s="621"/>
      <c r="J40" s="621"/>
      <c r="K40" s="621"/>
      <c r="L40" s="621"/>
      <c r="M40" s="274" t="s">
        <v>215</v>
      </c>
      <c r="N40" s="274"/>
      <c r="O40" s="274"/>
      <c r="P40" s="65"/>
      <c r="Q40" s="620"/>
      <c r="R40" s="620"/>
      <c r="S40" s="620"/>
      <c r="T40" s="620"/>
      <c r="U40" s="620"/>
      <c r="V40" s="65"/>
      <c r="W40" s="65"/>
      <c r="X40" s="65"/>
      <c r="Y40" s="65"/>
      <c r="Z40" s="65"/>
    </row>
    <row r="41" spans="1:29" s="66" customFormat="1" ht="15.75" customHeight="1">
      <c r="A41" s="273"/>
      <c r="B41" s="274" t="s">
        <v>424</v>
      </c>
      <c r="C41" s="274"/>
      <c r="D41" s="274"/>
      <c r="E41" s="274"/>
      <c r="F41" s="274"/>
      <c r="G41" s="274"/>
      <c r="H41" s="274"/>
      <c r="I41" s="622"/>
      <c r="J41" s="622"/>
      <c r="K41" s="622"/>
      <c r="L41" s="622"/>
      <c r="M41" s="274" t="s">
        <v>206</v>
      </c>
      <c r="N41" s="274"/>
      <c r="O41" s="274"/>
      <c r="P41" s="65"/>
      <c r="Q41" s="620"/>
      <c r="R41" s="620"/>
      <c r="S41" s="620"/>
      <c r="T41" s="620"/>
      <c r="U41" s="620"/>
      <c r="V41" s="65"/>
      <c r="W41" s="65"/>
      <c r="X41" s="65"/>
      <c r="Y41" s="65"/>
      <c r="Z41" s="65"/>
    </row>
    <row r="42" spans="1:29" s="66" customFormat="1" ht="15.75" customHeight="1">
      <c r="A42" s="273"/>
      <c r="B42" s="274" t="s">
        <v>425</v>
      </c>
      <c r="C42" s="274"/>
      <c r="D42" s="274"/>
      <c r="E42" s="274"/>
      <c r="F42" s="274"/>
      <c r="G42" s="274"/>
      <c r="H42" s="274"/>
      <c r="I42" s="623"/>
      <c r="J42" s="623"/>
      <c r="K42" s="623"/>
      <c r="L42" s="623"/>
      <c r="M42" s="274" t="s">
        <v>426</v>
      </c>
      <c r="N42" s="274"/>
      <c r="O42" s="274"/>
      <c r="P42" s="65"/>
      <c r="Q42" s="620"/>
      <c r="R42" s="620"/>
      <c r="S42" s="620"/>
      <c r="T42" s="620"/>
      <c r="U42" s="620"/>
      <c r="V42" s="65"/>
      <c r="W42" s="65"/>
      <c r="X42" s="65"/>
      <c r="Y42" s="65"/>
      <c r="Z42" s="65"/>
    </row>
    <row r="43" spans="1:29" s="66" customFormat="1" ht="15.75" customHeight="1">
      <c r="A43" s="273"/>
      <c r="B43" s="274" t="s">
        <v>427</v>
      </c>
      <c r="C43" s="274"/>
      <c r="D43" s="274"/>
      <c r="E43" s="274"/>
      <c r="F43" s="274"/>
      <c r="G43" s="274"/>
      <c r="H43" s="274"/>
      <c r="I43" s="624"/>
      <c r="J43" s="624"/>
      <c r="K43" s="624"/>
      <c r="L43" s="624"/>
      <c r="M43" s="274" t="s">
        <v>426</v>
      </c>
      <c r="N43" s="274"/>
      <c r="O43" s="274"/>
      <c r="P43" s="65"/>
      <c r="Q43" s="620"/>
      <c r="R43" s="620"/>
      <c r="S43" s="620"/>
      <c r="T43" s="620"/>
      <c r="U43" s="620"/>
      <c r="V43" s="65"/>
      <c r="W43" s="65"/>
      <c r="X43" s="65"/>
      <c r="Y43" s="65"/>
      <c r="Z43" s="65"/>
    </row>
    <row r="44" spans="1:29" s="66" customFormat="1" ht="15.75" customHeight="1">
      <c r="A44" s="273"/>
      <c r="B44" s="274" t="s">
        <v>428</v>
      </c>
      <c r="C44" s="274"/>
      <c r="D44" s="274"/>
      <c r="E44" s="274"/>
      <c r="F44" s="274"/>
      <c r="G44" s="274"/>
      <c r="H44" s="274"/>
      <c r="I44" s="621"/>
      <c r="J44" s="621"/>
      <c r="K44" s="621"/>
      <c r="L44" s="621"/>
      <c r="M44" s="274" t="s">
        <v>219</v>
      </c>
      <c r="N44" s="274"/>
      <c r="O44" s="274"/>
      <c r="P44" s="65"/>
      <c r="Q44" s="620"/>
      <c r="R44" s="620"/>
      <c r="S44" s="620"/>
      <c r="T44" s="620"/>
      <c r="U44" s="620"/>
      <c r="V44" s="65"/>
      <c r="W44" s="65"/>
      <c r="X44" s="65"/>
      <c r="Y44" s="65"/>
      <c r="Z44" s="65"/>
    </row>
    <row r="45" spans="1:29" s="66" customFormat="1" ht="15.75" customHeight="1">
      <c r="A45" s="273"/>
      <c r="B45" s="274" t="s">
        <v>429</v>
      </c>
      <c r="C45" s="274"/>
      <c r="D45" s="274"/>
      <c r="E45" s="274"/>
      <c r="F45" s="274"/>
      <c r="G45" s="274"/>
      <c r="H45" s="274"/>
      <c r="I45" s="621"/>
      <c r="J45" s="621"/>
      <c r="K45" s="621"/>
      <c r="L45" s="621"/>
      <c r="M45" s="274" t="s">
        <v>219</v>
      </c>
      <c r="N45" s="274"/>
      <c r="O45" s="274"/>
      <c r="P45" s="65"/>
      <c r="Q45" s="620"/>
      <c r="R45" s="620"/>
      <c r="S45" s="620"/>
      <c r="T45" s="620"/>
      <c r="U45" s="620"/>
      <c r="V45" s="65"/>
      <c r="W45" s="67"/>
      <c r="X45" s="67" t="s">
        <v>430</v>
      </c>
      <c r="Y45" s="65"/>
      <c r="Z45" s="65"/>
    </row>
    <row r="46" spans="1:29" s="66" customFormat="1" ht="15.75" customHeight="1">
      <c r="A46" s="273"/>
      <c r="B46" s="274" t="s">
        <v>431</v>
      </c>
      <c r="C46" s="274"/>
      <c r="D46" s="274"/>
      <c r="E46" s="274"/>
      <c r="F46" s="274"/>
      <c r="G46" s="274"/>
      <c r="H46" s="274"/>
      <c r="I46" s="616"/>
      <c r="J46" s="616"/>
      <c r="K46" s="616"/>
      <c r="L46" s="616"/>
      <c r="M46" s="274" t="s">
        <v>432</v>
      </c>
      <c r="N46" s="274"/>
      <c r="O46" s="274"/>
      <c r="P46" s="65"/>
      <c r="Q46" s="620"/>
      <c r="R46" s="620"/>
      <c r="S46" s="620"/>
      <c r="T46" s="620"/>
      <c r="U46" s="620"/>
      <c r="W46" s="67" t="s">
        <v>433</v>
      </c>
      <c r="X46" s="162">
        <f>'SP11-2'!Q39</f>
        <v>0</v>
      </c>
      <c r="Y46" s="65"/>
      <c r="Z46" s="163">
        <v>0.04</v>
      </c>
      <c r="AA46" s="65"/>
      <c r="AB46" s="163">
        <v>0.08</v>
      </c>
      <c r="AC46" s="65"/>
    </row>
    <row r="47" spans="1:29" s="161" customFormat="1" ht="3.75" customHeight="1" thickBot="1">
      <c r="A47" s="348"/>
      <c r="B47" s="339"/>
      <c r="C47" s="339"/>
      <c r="D47" s="339"/>
      <c r="E47" s="339"/>
      <c r="F47" s="339"/>
      <c r="G47" s="339"/>
      <c r="H47" s="339"/>
      <c r="I47" s="339"/>
      <c r="J47" s="339"/>
      <c r="K47" s="339"/>
      <c r="L47" s="339"/>
      <c r="M47" s="339"/>
      <c r="N47" s="339"/>
      <c r="O47" s="339"/>
      <c r="P47" s="160"/>
      <c r="S47" s="160"/>
      <c r="T47" s="160"/>
      <c r="W47" s="67"/>
      <c r="X47" s="162"/>
      <c r="Y47" s="160"/>
      <c r="Z47" s="160"/>
      <c r="AA47" s="160"/>
      <c r="AB47" s="160"/>
      <c r="AC47" s="160"/>
    </row>
    <row r="48" spans="1:29" s="66" customFormat="1" ht="3.75" customHeight="1" thickTop="1">
      <c r="A48" s="273"/>
      <c r="B48" s="274"/>
      <c r="C48" s="274"/>
      <c r="D48" s="274"/>
      <c r="E48" s="274"/>
      <c r="F48" s="274"/>
      <c r="G48" s="274"/>
      <c r="H48" s="274"/>
      <c r="I48" s="274"/>
      <c r="J48" s="274"/>
      <c r="K48" s="274"/>
      <c r="L48" s="274"/>
      <c r="M48" s="274"/>
      <c r="N48" s="274"/>
      <c r="O48" s="274"/>
      <c r="P48" s="65"/>
      <c r="S48" s="65"/>
      <c r="T48" s="65"/>
      <c r="W48" s="67"/>
      <c r="X48" s="162"/>
      <c r="Y48" s="65"/>
      <c r="Z48" s="65"/>
      <c r="AA48" s="65"/>
      <c r="AB48" s="65"/>
      <c r="AC48" s="65"/>
    </row>
    <row r="49" spans="1:29" s="66" customFormat="1" ht="15.75" customHeight="1">
      <c r="A49" s="273">
        <v>8</v>
      </c>
      <c r="B49" s="597" t="s">
        <v>434</v>
      </c>
      <c r="C49" s="597"/>
      <c r="D49" s="358"/>
      <c r="E49" s="358"/>
      <c r="F49" s="358"/>
      <c r="G49" s="274"/>
      <c r="H49" s="358"/>
      <c r="I49" s="358"/>
      <c r="J49" s="358"/>
      <c r="K49" s="358"/>
      <c r="L49" s="324" t="s">
        <v>267</v>
      </c>
      <c r="M49" s="606">
        <f>'SP11-2'!Q39</f>
        <v>0</v>
      </c>
      <c r="N49" s="606"/>
      <c r="O49" s="273" t="s">
        <v>435</v>
      </c>
      <c r="P49" s="65"/>
      <c r="Q49" s="602" t="s">
        <v>977</v>
      </c>
      <c r="R49" s="603"/>
      <c r="S49" s="603"/>
      <c r="T49" s="603"/>
      <c r="U49" s="604"/>
      <c r="W49" s="67" t="s">
        <v>436</v>
      </c>
      <c r="X49" s="162">
        <f>'SP11-3 (1)'!Q35</f>
        <v>0</v>
      </c>
      <c r="Y49" s="65"/>
      <c r="Z49" s="605">
        <f>'SP11-2'!AG39</f>
        <v>0</v>
      </c>
      <c r="AA49" s="605"/>
      <c r="AB49" s="605">
        <f>'SP11-2'!AI39</f>
        <v>0</v>
      </c>
      <c r="AC49" s="605"/>
    </row>
    <row r="50" spans="1:29" s="161" customFormat="1" ht="3.75" customHeight="1" thickBot="1">
      <c r="A50" s="348"/>
      <c r="B50" s="339"/>
      <c r="C50" s="339"/>
      <c r="D50" s="339"/>
      <c r="E50" s="339"/>
      <c r="F50" s="339"/>
      <c r="G50" s="339"/>
      <c r="H50" s="339"/>
      <c r="I50" s="339"/>
      <c r="J50" s="339"/>
      <c r="K50" s="339"/>
      <c r="L50" s="339"/>
      <c r="M50" s="339"/>
      <c r="N50" s="339"/>
      <c r="O50" s="339"/>
      <c r="P50" s="160"/>
      <c r="W50" s="67"/>
      <c r="X50" s="162"/>
      <c r="Y50" s="160"/>
      <c r="Z50" s="160"/>
      <c r="AA50" s="160"/>
      <c r="AB50" s="160"/>
      <c r="AC50" s="160"/>
    </row>
    <row r="51" spans="1:29" s="66" customFormat="1" ht="3.75" customHeight="1" thickTop="1">
      <c r="A51" s="273"/>
      <c r="B51" s="274"/>
      <c r="C51" s="274"/>
      <c r="D51" s="274"/>
      <c r="E51" s="274"/>
      <c r="F51" s="274"/>
      <c r="G51" s="274"/>
      <c r="H51" s="274"/>
      <c r="I51" s="274"/>
      <c r="J51" s="274"/>
      <c r="K51" s="274"/>
      <c r="L51" s="274"/>
      <c r="M51" s="274"/>
      <c r="N51" s="274"/>
      <c r="O51" s="274"/>
      <c r="P51" s="65"/>
      <c r="S51" s="65"/>
      <c r="T51" s="65"/>
      <c r="W51" s="67"/>
      <c r="X51" s="162"/>
      <c r="Y51" s="65"/>
      <c r="Z51" s="65"/>
      <c r="AA51" s="65"/>
      <c r="AB51" s="65"/>
      <c r="AC51" s="65"/>
    </row>
    <row r="52" spans="1:29" s="66" customFormat="1" ht="15.75" customHeight="1">
      <c r="A52" s="273">
        <v>9</v>
      </c>
      <c r="B52" s="597" t="s">
        <v>437</v>
      </c>
      <c r="C52" s="597"/>
      <c r="D52" s="597"/>
      <c r="E52" s="358"/>
      <c r="F52" s="358"/>
      <c r="G52" s="358"/>
      <c r="H52" s="358"/>
      <c r="I52" s="358"/>
      <c r="J52" s="358"/>
      <c r="K52" s="358"/>
      <c r="L52" s="324" t="s">
        <v>267</v>
      </c>
      <c r="M52" s="606">
        <f>'SP11-3 (1)'!Q35</f>
        <v>0</v>
      </c>
      <c r="N52" s="606"/>
      <c r="O52" s="273" t="s">
        <v>438</v>
      </c>
      <c r="P52" s="65"/>
      <c r="Q52" s="602" t="s">
        <v>978</v>
      </c>
      <c r="R52" s="603"/>
      <c r="S52" s="603"/>
      <c r="T52" s="603"/>
      <c r="U52" s="604"/>
      <c r="W52" s="67" t="s">
        <v>439</v>
      </c>
      <c r="X52" s="162">
        <f>'SP11-3 (2)'!Q36</f>
        <v>0</v>
      </c>
      <c r="Y52" s="65"/>
      <c r="Z52" s="605" t="e">
        <f>'SP11-3 (1)'!AH35</f>
        <v>#REF!</v>
      </c>
      <c r="AA52" s="605"/>
      <c r="AB52" s="605">
        <f>'SP11-3 (1)'!AJ35</f>
        <v>0</v>
      </c>
      <c r="AC52" s="605"/>
    </row>
    <row r="53" spans="1:29" s="161" customFormat="1" ht="3.75" customHeight="1" thickBot="1">
      <c r="A53" s="348"/>
      <c r="B53" s="339"/>
      <c r="C53" s="339"/>
      <c r="D53" s="339"/>
      <c r="E53" s="339"/>
      <c r="F53" s="339"/>
      <c r="G53" s="339"/>
      <c r="H53" s="339"/>
      <c r="I53" s="339"/>
      <c r="J53" s="339"/>
      <c r="K53" s="339"/>
      <c r="L53" s="339"/>
      <c r="M53" s="339"/>
      <c r="N53" s="339"/>
      <c r="O53" s="339"/>
      <c r="P53" s="160"/>
      <c r="S53" s="160"/>
      <c r="T53" s="160"/>
      <c r="W53" s="67"/>
      <c r="X53" s="162"/>
      <c r="Y53" s="160"/>
      <c r="Z53" s="160"/>
      <c r="AA53" s="160"/>
      <c r="AB53" s="160"/>
      <c r="AC53" s="160"/>
    </row>
    <row r="54" spans="1:29" s="66" customFormat="1" ht="3.75" customHeight="1" thickTop="1">
      <c r="A54" s="273"/>
      <c r="B54" s="274"/>
      <c r="C54" s="274"/>
      <c r="D54" s="274"/>
      <c r="E54" s="274"/>
      <c r="F54" s="274"/>
      <c r="G54" s="274"/>
      <c r="H54" s="274"/>
      <c r="I54" s="274"/>
      <c r="J54" s="274"/>
      <c r="K54" s="274"/>
      <c r="L54" s="274"/>
      <c r="M54" s="274"/>
      <c r="N54" s="274"/>
      <c r="O54" s="274"/>
      <c r="P54" s="65"/>
      <c r="S54" s="65"/>
      <c r="T54" s="65"/>
      <c r="W54" s="67"/>
      <c r="X54" s="162"/>
      <c r="Y54" s="65"/>
      <c r="Z54" s="65"/>
      <c r="AA54" s="65"/>
      <c r="AB54" s="65"/>
      <c r="AC54" s="65"/>
    </row>
    <row r="55" spans="1:29" s="66" customFormat="1" ht="15.75" customHeight="1">
      <c r="A55" s="273">
        <v>10</v>
      </c>
      <c r="B55" s="597" t="s">
        <v>440</v>
      </c>
      <c r="C55" s="597"/>
      <c r="D55" s="597"/>
      <c r="E55" s="597"/>
      <c r="F55" s="358"/>
      <c r="G55" s="358"/>
      <c r="H55" s="358"/>
      <c r="I55" s="358"/>
      <c r="J55" s="358"/>
      <c r="K55" s="358"/>
      <c r="L55" s="358"/>
      <c r="M55" s="358"/>
      <c r="N55" s="274"/>
      <c r="O55" s="358"/>
      <c r="P55" s="65"/>
      <c r="S55" s="65"/>
      <c r="T55" s="65"/>
      <c r="W55" s="67" t="s">
        <v>441</v>
      </c>
      <c r="X55" s="162">
        <f>'SP11-3 (3)'!Q36</f>
        <v>0</v>
      </c>
      <c r="Y55" s="65"/>
      <c r="Z55" s="65"/>
      <c r="AA55" s="65"/>
      <c r="AB55" s="65"/>
      <c r="AC55" s="65"/>
    </row>
    <row r="56" spans="1:29" s="66" customFormat="1" ht="15.75" customHeight="1" thickBot="1">
      <c r="A56" s="271"/>
      <c r="B56" s="274" t="s">
        <v>442</v>
      </c>
      <c r="C56" s="274"/>
      <c r="D56" s="324" t="s">
        <v>267</v>
      </c>
      <c r="E56" s="598">
        <f>M74</f>
        <v>0</v>
      </c>
      <c r="F56" s="598"/>
      <c r="G56" s="358" t="s">
        <v>443</v>
      </c>
      <c r="H56" s="274"/>
      <c r="I56" s="274"/>
      <c r="J56" s="599"/>
      <c r="K56" s="599"/>
      <c r="L56" s="360" t="s">
        <v>444</v>
      </c>
      <c r="M56" s="600">
        <f>E56*J56</f>
        <v>0</v>
      </c>
      <c r="N56" s="600"/>
      <c r="O56" s="273" t="s">
        <v>445</v>
      </c>
      <c r="P56" s="65"/>
      <c r="Q56" s="601" t="s">
        <v>979</v>
      </c>
      <c r="R56" s="601"/>
      <c r="S56" s="601"/>
      <c r="T56" s="601"/>
      <c r="U56" s="601"/>
      <c r="Y56" s="65"/>
      <c r="Z56" s="591">
        <f>'SP11-4'!AA33*J56</f>
        <v>0</v>
      </c>
      <c r="AA56" s="591"/>
      <c r="AB56" s="591">
        <f>'SP11-4'!AC33*J56</f>
        <v>0</v>
      </c>
      <c r="AC56" s="591"/>
    </row>
    <row r="57" spans="1:29" s="66" customFormat="1" ht="15.75" customHeight="1" thickTop="1" thickBot="1">
      <c r="A57" s="271"/>
      <c r="B57" s="274" t="s">
        <v>446</v>
      </c>
      <c r="C57" s="274"/>
      <c r="D57" s="324" t="s">
        <v>267</v>
      </c>
      <c r="E57" s="592">
        <f>I78</f>
        <v>0</v>
      </c>
      <c r="F57" s="592"/>
      <c r="G57" s="358" t="s">
        <v>447</v>
      </c>
      <c r="H57" s="274"/>
      <c r="I57" s="274"/>
      <c r="J57" s="593"/>
      <c r="K57" s="593"/>
      <c r="L57" s="360" t="s">
        <v>444</v>
      </c>
      <c r="M57" s="594">
        <f>E57*J57</f>
        <v>0</v>
      </c>
      <c r="N57" s="594"/>
      <c r="O57" s="273" t="s">
        <v>448</v>
      </c>
      <c r="Q57" s="601"/>
      <c r="R57" s="601"/>
      <c r="S57" s="601"/>
      <c r="T57" s="601"/>
      <c r="U57" s="601"/>
      <c r="Y57" s="65"/>
      <c r="Z57" s="595">
        <f>T77*J57</f>
        <v>0</v>
      </c>
      <c r="AA57" s="595"/>
      <c r="AB57" s="596" t="e">
        <f>AC77*J57</f>
        <v>#VALUE!</v>
      </c>
      <c r="AC57" s="596"/>
    </row>
    <row r="58" spans="1:29" s="66" customFormat="1" ht="15.75" customHeight="1" thickTop="1">
      <c r="A58" s="271"/>
      <c r="B58" s="274" t="s">
        <v>449</v>
      </c>
      <c r="C58" s="274"/>
      <c r="D58" s="324" t="s">
        <v>267</v>
      </c>
      <c r="E58" s="592">
        <f>C77</f>
        <v>0</v>
      </c>
      <c r="F58" s="592"/>
      <c r="G58" s="358" t="s">
        <v>450</v>
      </c>
      <c r="H58" s="274"/>
      <c r="I58" s="274"/>
      <c r="J58" s="593"/>
      <c r="K58" s="593"/>
      <c r="L58" s="360" t="s">
        <v>444</v>
      </c>
      <c r="M58" s="594">
        <f>E58*J58</f>
        <v>0</v>
      </c>
      <c r="N58" s="594"/>
      <c r="O58" s="273" t="s">
        <v>451</v>
      </c>
      <c r="Q58" s="601"/>
      <c r="R58" s="601"/>
      <c r="S58" s="601"/>
      <c r="T58" s="601"/>
      <c r="U58" s="601"/>
      <c r="Y58" s="65"/>
      <c r="Z58" s="590">
        <f>Q77*J58</f>
        <v>0</v>
      </c>
      <c r="AA58" s="590"/>
      <c r="AB58" s="584">
        <f>V77*J58</f>
        <v>0</v>
      </c>
      <c r="AC58" s="584"/>
    </row>
    <row r="59" spans="1:29" s="66" customFormat="1" ht="15.75" customHeight="1">
      <c r="A59" s="271"/>
      <c r="B59" s="325" t="s">
        <v>452</v>
      </c>
      <c r="C59" s="325"/>
      <c r="D59" s="324" t="s">
        <v>267</v>
      </c>
      <c r="E59" s="598">
        <f>'SP11-5'!J62</f>
        <v>0</v>
      </c>
      <c r="F59" s="598"/>
      <c r="G59" s="358" t="s">
        <v>453</v>
      </c>
      <c r="H59" s="274"/>
      <c r="I59" s="274"/>
      <c r="J59" s="640"/>
      <c r="K59" s="640"/>
      <c r="L59" s="360"/>
      <c r="M59" s="641"/>
      <c r="N59" s="641"/>
      <c r="O59" s="273"/>
      <c r="Q59" s="386"/>
      <c r="R59" s="386"/>
      <c r="S59" s="386"/>
      <c r="T59" s="386"/>
      <c r="U59" s="386"/>
      <c r="Y59" s="65"/>
      <c r="Z59" s="70"/>
      <c r="AA59" s="70"/>
      <c r="AB59" s="70"/>
      <c r="AC59" s="70"/>
    </row>
    <row r="60" spans="1:29" s="161" customFormat="1" ht="3.75" customHeight="1" thickBot="1">
      <c r="A60" s="348"/>
      <c r="B60" s="339"/>
      <c r="C60" s="339"/>
      <c r="D60" s="339"/>
      <c r="E60" s="339"/>
      <c r="F60" s="339"/>
      <c r="G60" s="339"/>
      <c r="H60" s="339"/>
      <c r="I60" s="339"/>
      <c r="J60" s="339"/>
      <c r="K60" s="339"/>
      <c r="L60" s="339"/>
      <c r="M60" s="339"/>
      <c r="N60" s="339"/>
      <c r="O60" s="339"/>
      <c r="R60" s="160"/>
      <c r="S60" s="160"/>
      <c r="T60" s="160"/>
      <c r="Y60" s="160"/>
      <c r="Z60" s="160"/>
      <c r="AA60" s="160"/>
      <c r="AB60" s="160"/>
      <c r="AC60" s="160"/>
    </row>
    <row r="61" spans="1:29" s="66" customFormat="1" ht="3.75" customHeight="1" thickTop="1" thickBot="1">
      <c r="A61" s="273"/>
      <c r="B61" s="274"/>
      <c r="C61" s="274"/>
      <c r="D61" s="274"/>
      <c r="E61" s="274"/>
      <c r="F61" s="274"/>
      <c r="G61" s="274"/>
      <c r="H61" s="274"/>
      <c r="I61" s="274"/>
      <c r="J61" s="274"/>
      <c r="K61" s="274"/>
      <c r="L61" s="274"/>
      <c r="M61" s="274"/>
      <c r="N61" s="274"/>
      <c r="O61" s="274"/>
      <c r="R61" s="65"/>
      <c r="S61" s="65"/>
      <c r="T61" s="65"/>
      <c r="Y61" s="65"/>
      <c r="Z61" s="65"/>
      <c r="AA61" s="65"/>
      <c r="AB61" s="65"/>
      <c r="AC61" s="65"/>
    </row>
    <row r="62" spans="1:29" s="66" customFormat="1" ht="15.75" customHeight="1" thickTop="1" thickBot="1">
      <c r="A62" s="580">
        <v>11</v>
      </c>
      <c r="B62" s="577" t="s">
        <v>454</v>
      </c>
      <c r="C62" s="585" t="s">
        <v>455</v>
      </c>
      <c r="D62" s="585"/>
      <c r="E62" s="580" t="s">
        <v>456</v>
      </c>
      <c r="F62" s="586" t="s">
        <v>457</v>
      </c>
      <c r="G62" s="586"/>
      <c r="H62" s="586"/>
      <c r="I62" s="580" t="s">
        <v>456</v>
      </c>
      <c r="J62" s="582">
        <f>M56+M58+M57+E59</f>
        <v>0</v>
      </c>
      <c r="K62" s="582"/>
      <c r="L62" s="587" t="s">
        <v>458</v>
      </c>
      <c r="M62" s="588">
        <f>IF(J63=0,,J62/J63)</f>
        <v>0</v>
      </c>
      <c r="N62" s="588"/>
      <c r="O62" s="274"/>
      <c r="P62" s="164" t="s">
        <v>459</v>
      </c>
      <c r="Q62" s="576" t="s">
        <v>460</v>
      </c>
      <c r="R62" s="164" t="s">
        <v>461</v>
      </c>
      <c r="S62" s="165"/>
      <c r="T62" s="65"/>
      <c r="Y62" s="65"/>
      <c r="Z62" s="65"/>
      <c r="AA62" s="65"/>
      <c r="AB62" s="65"/>
      <c r="AC62" s="65"/>
    </row>
    <row r="63" spans="1:29" s="66" customFormat="1" ht="15.75" customHeight="1" thickTop="1" thickBot="1">
      <c r="A63" s="580"/>
      <c r="B63" s="577"/>
      <c r="C63" s="577" t="s">
        <v>462</v>
      </c>
      <c r="D63" s="577"/>
      <c r="E63" s="580"/>
      <c r="F63" s="578" t="s">
        <v>463</v>
      </c>
      <c r="G63" s="578"/>
      <c r="H63" s="578"/>
      <c r="I63" s="580"/>
      <c r="J63" s="579">
        <f>M52-M49</f>
        <v>0</v>
      </c>
      <c r="K63" s="579"/>
      <c r="L63" s="587"/>
      <c r="M63" s="589"/>
      <c r="N63" s="589"/>
      <c r="O63" s="337"/>
      <c r="P63" s="166">
        <f>M62*1.158</f>
        <v>0</v>
      </c>
      <c r="Q63" s="576"/>
      <c r="R63" s="166">
        <f>M62*0.772</f>
        <v>0</v>
      </c>
      <c r="T63" s="65"/>
      <c r="Y63" s="65"/>
      <c r="Z63" s="65" t="e">
        <f>(Z58+Z57+Z56)/(Z52-Z49)</f>
        <v>#REF!</v>
      </c>
      <c r="AA63" s="65"/>
      <c r="AB63" s="65" t="e">
        <f>(AB58+AB57+AB56)/(AB52-AB49)</f>
        <v>#VALUE!</v>
      </c>
      <c r="AC63" s="65"/>
    </row>
    <row r="64" spans="1:29" s="74" customFormat="1" ht="3" customHeight="1" thickTop="1">
      <c r="A64" s="271"/>
      <c r="B64" s="274"/>
      <c r="C64" s="274"/>
      <c r="D64" s="274"/>
      <c r="E64" s="274"/>
      <c r="F64" s="274"/>
      <c r="G64" s="274"/>
      <c r="H64" s="274"/>
      <c r="I64" s="274"/>
      <c r="J64" s="274"/>
      <c r="K64" s="274"/>
      <c r="L64" s="274"/>
      <c r="M64" s="274"/>
      <c r="N64" s="274"/>
      <c r="O64" s="274"/>
      <c r="P64" s="61"/>
      <c r="Q64" s="71"/>
      <c r="S64" s="66"/>
      <c r="T64" s="65"/>
      <c r="Y64" s="65"/>
      <c r="Z64" s="65"/>
      <c r="AA64" s="65"/>
      <c r="AB64" s="65"/>
      <c r="AC64" s="65"/>
    </row>
    <row r="65" spans="1:29" s="74" customFormat="1" ht="3.75" customHeight="1">
      <c r="A65" s="271"/>
      <c r="B65" s="274"/>
      <c r="C65" s="274"/>
      <c r="D65" s="274"/>
      <c r="E65" s="274"/>
      <c r="F65" s="274"/>
      <c r="G65" s="274"/>
      <c r="H65" s="274"/>
      <c r="I65" s="274"/>
      <c r="J65" s="274"/>
      <c r="K65" s="274"/>
      <c r="L65" s="274"/>
      <c r="M65" s="274"/>
      <c r="N65" s="274"/>
      <c r="O65" s="274"/>
      <c r="P65" s="61"/>
      <c r="Q65" s="65"/>
      <c r="S65" s="66"/>
      <c r="T65" s="65"/>
      <c r="Y65" s="65"/>
      <c r="Z65" s="65"/>
      <c r="AA65" s="65"/>
      <c r="AB65" s="65"/>
      <c r="AC65" s="65"/>
    </row>
    <row r="66" spans="1:29" s="74" customFormat="1" ht="3.75" customHeight="1">
      <c r="A66" s="358"/>
      <c r="B66" s="358"/>
      <c r="C66" s="362"/>
      <c r="D66" s="363"/>
      <c r="E66" s="358"/>
      <c r="F66" s="358"/>
      <c r="G66" s="358"/>
      <c r="H66" s="358"/>
      <c r="I66" s="358"/>
      <c r="J66" s="358"/>
      <c r="K66" s="358"/>
      <c r="L66" s="358"/>
      <c r="M66" s="358"/>
      <c r="N66" s="358"/>
      <c r="O66" s="358"/>
      <c r="P66" s="61"/>
      <c r="Q66" s="65"/>
      <c r="S66" s="66"/>
      <c r="T66" s="65"/>
      <c r="Y66" s="65"/>
      <c r="Z66" s="65"/>
      <c r="AA66" s="65"/>
      <c r="AB66" s="65"/>
      <c r="AC66" s="65"/>
    </row>
    <row r="67" spans="1:29" s="74" customFormat="1" ht="13.2" thickBot="1">
      <c r="A67" s="580">
        <v>12</v>
      </c>
      <c r="B67" s="577" t="s">
        <v>464</v>
      </c>
      <c r="C67" s="581" t="s">
        <v>465</v>
      </c>
      <c r="D67" s="581"/>
      <c r="E67" s="358"/>
      <c r="F67" s="358"/>
      <c r="G67" s="358"/>
      <c r="H67" s="358"/>
      <c r="I67" s="580" t="s">
        <v>456</v>
      </c>
      <c r="J67" s="582">
        <f>AB68</f>
        <v>0</v>
      </c>
      <c r="K67" s="583"/>
      <c r="L67" s="580" t="s">
        <v>456</v>
      </c>
      <c r="M67" s="571">
        <f>IF(J68=0,,J67/J68)</f>
        <v>0</v>
      </c>
      <c r="N67" s="571"/>
      <c r="O67" s="358"/>
      <c r="P67" s="61"/>
      <c r="Q67" s="167"/>
      <c r="S67" s="66"/>
      <c r="T67" s="65"/>
      <c r="Y67" s="65"/>
      <c r="Z67" s="65"/>
      <c r="AA67" s="65"/>
      <c r="AB67" s="65"/>
      <c r="AC67" s="65"/>
    </row>
    <row r="68" spans="1:29" s="74" customFormat="1" ht="13.2" thickTop="1">
      <c r="A68" s="580"/>
      <c r="B68" s="577"/>
      <c r="C68" s="573" t="s">
        <v>462</v>
      </c>
      <c r="D68" s="573"/>
      <c r="E68" s="358"/>
      <c r="F68" s="358"/>
      <c r="G68" s="358"/>
      <c r="H68" s="358"/>
      <c r="I68" s="580"/>
      <c r="J68" s="574">
        <f>J63</f>
        <v>0</v>
      </c>
      <c r="K68" s="575"/>
      <c r="L68" s="580"/>
      <c r="M68" s="572"/>
      <c r="N68" s="572"/>
      <c r="O68" s="358"/>
      <c r="P68" s="61"/>
      <c r="Q68" s="65"/>
      <c r="R68" s="65"/>
      <c r="S68" s="65"/>
      <c r="T68" s="65"/>
      <c r="Y68" s="65"/>
      <c r="Z68" s="65" t="s">
        <v>466</v>
      </c>
      <c r="AA68" s="65"/>
      <c r="AB68" s="79">
        <f>('SP11-4'!N30)+ MAX('SP11-5'!J12/'SP11-5'!G12, 'SP11-5'!J26/'SP11-5'!G26) +  MAX('SP11-5'!J33/'SP11-5'!G33, 'SP11-5'!J46/'SP11-5'!G46) + MAX('SP11-5'!J52/'SP11-5'!G52, 'SP11-5'!J56/'SP11-5'!G56) + 'SP11-6'!J40</f>
        <v>0</v>
      </c>
      <c r="AC68" s="65"/>
    </row>
    <row r="69" spans="1:29" ht="3" customHeight="1">
      <c r="A69" s="358"/>
      <c r="B69" s="358"/>
      <c r="C69" s="274"/>
      <c r="D69" s="274"/>
      <c r="E69" s="358"/>
      <c r="F69" s="358"/>
      <c r="G69" s="358"/>
      <c r="H69" s="358"/>
      <c r="I69" s="358"/>
      <c r="J69" s="358"/>
      <c r="K69" s="358"/>
      <c r="L69" s="358"/>
      <c r="M69" s="358"/>
      <c r="N69" s="358"/>
      <c r="O69" s="358"/>
      <c r="Q69" s="63"/>
      <c r="R69" s="63"/>
      <c r="S69" s="63"/>
      <c r="T69" s="63"/>
      <c r="U69" s="63"/>
      <c r="V69" s="63"/>
      <c r="W69" s="63"/>
      <c r="X69" s="63"/>
      <c r="Y69" s="63"/>
      <c r="Z69" s="63"/>
    </row>
    <row r="70" spans="1:29" ht="12.75" customHeight="1">
      <c r="A70" s="64"/>
      <c r="B70" s="63"/>
      <c r="C70" s="63"/>
      <c r="D70" s="63"/>
      <c r="E70" s="63"/>
      <c r="F70" s="63"/>
      <c r="G70" s="63"/>
      <c r="H70" s="63"/>
      <c r="I70" s="63"/>
      <c r="J70" s="63"/>
      <c r="K70" s="63"/>
      <c r="L70" s="63"/>
      <c r="M70" s="63"/>
      <c r="N70" s="63"/>
      <c r="O70" s="181"/>
      <c r="P70" s="377"/>
      <c r="Q70" s="63"/>
      <c r="R70" s="63"/>
      <c r="S70" s="63"/>
      <c r="T70" s="63"/>
      <c r="U70" s="63"/>
      <c r="V70" s="63"/>
      <c r="W70" s="63"/>
      <c r="X70" s="63"/>
      <c r="Y70" s="63"/>
      <c r="Z70" s="63"/>
    </row>
    <row r="71" spans="1:29" ht="12.75" hidden="1" customHeight="1">
      <c r="A71" s="64"/>
      <c r="B71" s="63"/>
      <c r="C71" s="168"/>
      <c r="D71" s="169"/>
      <c r="E71" s="169" t="s">
        <v>467</v>
      </c>
      <c r="F71" s="169"/>
      <c r="G71" s="169"/>
      <c r="H71" s="169"/>
      <c r="I71" s="169"/>
      <c r="J71" s="169"/>
      <c r="K71" s="169"/>
      <c r="L71" s="169"/>
      <c r="M71" s="169"/>
      <c r="N71" s="169"/>
      <c r="O71" s="63"/>
      <c r="P71" s="172"/>
      <c r="Q71" s="169"/>
      <c r="R71" s="169"/>
      <c r="S71" s="169"/>
      <c r="T71" s="170"/>
      <c r="U71" s="63"/>
      <c r="V71" s="168"/>
      <c r="W71" s="169"/>
      <c r="X71" s="169" t="s">
        <v>468</v>
      </c>
      <c r="Y71" s="169"/>
      <c r="Z71" s="169"/>
      <c r="AA71" s="171"/>
      <c r="AB71" s="171"/>
      <c r="AC71" s="172"/>
    </row>
    <row r="72" spans="1:29" ht="13.5" hidden="1" customHeight="1">
      <c r="A72" s="64"/>
      <c r="B72" s="63"/>
      <c r="C72" s="173" t="s">
        <v>469</v>
      </c>
      <c r="D72" s="63"/>
      <c r="E72" s="63"/>
      <c r="F72" s="63"/>
      <c r="G72" s="63"/>
      <c r="H72" s="63" t="s">
        <v>470</v>
      </c>
      <c r="I72" s="63"/>
      <c r="J72" s="63"/>
      <c r="K72" s="63"/>
      <c r="L72" s="63"/>
      <c r="M72" s="63" t="s">
        <v>471</v>
      </c>
      <c r="N72" s="63"/>
      <c r="O72" s="63" t="s">
        <v>472</v>
      </c>
      <c r="P72" s="174"/>
      <c r="Q72" s="63"/>
      <c r="R72" s="63"/>
      <c r="S72" s="63"/>
      <c r="T72" s="174"/>
      <c r="U72" s="63"/>
      <c r="V72" s="173"/>
      <c r="W72" s="63"/>
      <c r="X72" s="63"/>
      <c r="Y72" s="63"/>
      <c r="Z72" s="63"/>
      <c r="AC72" s="175"/>
    </row>
    <row r="73" spans="1:29" ht="12.75" hidden="1" customHeight="1">
      <c r="A73" s="64"/>
      <c r="B73" s="63"/>
      <c r="C73" s="176" t="s">
        <v>473</v>
      </c>
      <c r="D73" s="177" t="s">
        <v>474</v>
      </c>
      <c r="E73" s="177" t="s">
        <v>475</v>
      </c>
      <c r="F73" s="63"/>
      <c r="G73" s="63"/>
      <c r="H73" s="61" t="s">
        <v>473</v>
      </c>
      <c r="I73" s="63" t="s">
        <v>476</v>
      </c>
      <c r="K73" s="63" t="s">
        <v>474</v>
      </c>
      <c r="L73" s="63" t="s">
        <v>477</v>
      </c>
      <c r="M73" s="63" t="s">
        <v>473</v>
      </c>
      <c r="N73" s="61" t="s">
        <v>474</v>
      </c>
      <c r="O73" s="63" t="s">
        <v>473</v>
      </c>
      <c r="P73" s="175" t="s">
        <v>474</v>
      </c>
      <c r="Q73" s="63" t="s">
        <v>469</v>
      </c>
      <c r="R73" s="63" t="s">
        <v>470</v>
      </c>
      <c r="S73" s="63"/>
      <c r="T73" s="174"/>
      <c r="U73" s="63"/>
      <c r="V73" s="173" t="s">
        <v>469</v>
      </c>
      <c r="W73" s="63"/>
      <c r="X73" s="63"/>
      <c r="Y73" s="63"/>
      <c r="Z73" s="63"/>
      <c r="AA73" s="63" t="s">
        <v>470</v>
      </c>
      <c r="AB73" s="63"/>
      <c r="AC73" s="174"/>
    </row>
    <row r="74" spans="1:29" ht="12.75" hidden="1" customHeight="1">
      <c r="A74" s="64"/>
      <c r="B74" s="63"/>
      <c r="C74" s="178">
        <f>'SP11-5'!J52</f>
        <v>0</v>
      </c>
      <c r="D74" s="63">
        <f>'SP11-5'!AE53</f>
        <v>0</v>
      </c>
      <c r="E74" s="63">
        <v>0</v>
      </c>
      <c r="F74" s="63"/>
      <c r="G74" s="63"/>
      <c r="H74" s="179">
        <f>'SP11-5'!J12</f>
        <v>0</v>
      </c>
      <c r="I74" s="63"/>
      <c r="J74" s="63"/>
      <c r="K74" s="179">
        <f>'SP11-5'!J12/'SP11-5'!G12*(('SP11-1'!$I$28-1+780*'SP11-1'!$I$41))</f>
        <v>0</v>
      </c>
      <c r="L74" s="63"/>
      <c r="M74" s="378">
        <f>'SP11-4'!N33</f>
        <v>0</v>
      </c>
      <c r="N74" s="63">
        <f>'SP11-4'!N30*('SP11-1'!I28-1+780*'SP11-1'!I41)</f>
        <v>0</v>
      </c>
      <c r="O74" s="378">
        <f>'SP11-5'!J62</f>
        <v>0</v>
      </c>
      <c r="P74" s="388">
        <f>('SP11-5'!J62/'SP11-5'!G62)*('SP11-1'!I28-1+780*'SP11-1'!I41)</f>
        <v>0</v>
      </c>
      <c r="Q74" s="179">
        <f>'SP11-5'!AB53</f>
        <v>0</v>
      </c>
      <c r="R74" s="179">
        <f>'SP11-5'!AB22</f>
        <v>0</v>
      </c>
      <c r="S74" s="63"/>
      <c r="T74" s="174"/>
      <c r="U74" s="63"/>
      <c r="V74" s="178">
        <f>'SP11-5'!AD53</f>
        <v>0</v>
      </c>
      <c r="W74" s="63"/>
      <c r="X74" s="63"/>
      <c r="Y74" s="63"/>
      <c r="Z74" s="63"/>
      <c r="AA74" s="179" t="e">
        <f>'SP11-5'!AD22</f>
        <v>#VALUE!</v>
      </c>
      <c r="AB74" s="63"/>
      <c r="AC74" s="174"/>
    </row>
    <row r="75" spans="1:29" ht="12.75" hidden="1" customHeight="1">
      <c r="A75" s="64"/>
      <c r="B75" s="63" t="s">
        <v>478</v>
      </c>
      <c r="C75" s="178">
        <f>'SP11-5'!J56</f>
        <v>0</v>
      </c>
      <c r="D75" s="63">
        <f>'SP11-5'!J56/'SP11-5'!G56*(('SP11-1'!I28-1)+780*'SP11-1'!I41)</f>
        <v>0</v>
      </c>
      <c r="E75" s="63"/>
      <c r="F75" s="63"/>
      <c r="G75" s="63"/>
      <c r="H75" s="179">
        <f>'SP11-5'!J26</f>
        <v>0</v>
      </c>
      <c r="I75" s="63">
        <f>IF(H74&gt;H75,H74,H75)</f>
        <v>0</v>
      </c>
      <c r="J75" s="63"/>
      <c r="K75" s="179">
        <f>'SP11-5'!J26/'SP11-5'!G26*(('SP11-1'!$I$28-1+780*'SP11-1'!$I$41))</f>
        <v>0</v>
      </c>
      <c r="L75" s="63">
        <f>IF(K74&gt;K75,K74,K75)</f>
        <v>0</v>
      </c>
      <c r="M75" s="63"/>
      <c r="O75" s="63"/>
      <c r="P75" s="175"/>
      <c r="Q75" s="179">
        <f>'SP11-5'!AB57</f>
        <v>0</v>
      </c>
      <c r="R75" s="179">
        <f>'SP11-5'!AB27</f>
        <v>0</v>
      </c>
      <c r="S75" s="63">
        <f>IF(R74&gt;R75,R74,R75)</f>
        <v>0</v>
      </c>
      <c r="T75" s="174"/>
      <c r="U75" s="63"/>
      <c r="V75" s="178">
        <f>'SP11-5'!AD57</f>
        <v>0</v>
      </c>
      <c r="W75" s="63"/>
      <c r="X75" s="63"/>
      <c r="Y75" s="63"/>
      <c r="Z75" s="63"/>
      <c r="AA75" s="179" t="e">
        <f>'SP11-5'!AD27</f>
        <v>#VALUE!</v>
      </c>
      <c r="AB75" s="63" t="e">
        <f>IF(AA74&gt;AA75,AA74,AA75)</f>
        <v>#VALUE!</v>
      </c>
      <c r="AC75" s="174"/>
    </row>
    <row r="76" spans="1:29" ht="12.75" hidden="1" customHeight="1">
      <c r="A76" s="64"/>
      <c r="B76" s="63" t="s">
        <v>479</v>
      </c>
      <c r="C76" s="178">
        <f>'SP11-6'!J41</f>
        <v>0</v>
      </c>
      <c r="D76" s="63">
        <f>'SP11-6'!I46</f>
        <v>0</v>
      </c>
      <c r="E76" s="63" t="e">
        <f>'SP11-6'!J46</f>
        <v>#VALUE!</v>
      </c>
      <c r="F76" s="63"/>
      <c r="G76" s="63"/>
      <c r="H76" s="179">
        <f>'SP11-5'!J33</f>
        <v>0</v>
      </c>
      <c r="I76" s="63"/>
      <c r="J76" s="63"/>
      <c r="K76" s="179">
        <f>'SP11-5'!J33/'SP11-5'!G33*(('SP11-1'!$I$28-1+780*'SP11-1'!$I$41))</f>
        <v>0</v>
      </c>
      <c r="L76" s="63"/>
      <c r="M76" s="63"/>
      <c r="O76" s="63"/>
      <c r="P76" s="175"/>
      <c r="Q76" s="179">
        <f>'SP11-6'!J41</f>
        <v>0</v>
      </c>
      <c r="R76" s="179">
        <f>'SP11-5'!AB43</f>
        <v>0</v>
      </c>
      <c r="S76" s="63"/>
      <c r="T76" s="174"/>
      <c r="U76" s="63"/>
      <c r="V76" s="178">
        <f>'SP11-6'!J41</f>
        <v>0</v>
      </c>
      <c r="W76" s="63"/>
      <c r="X76" s="63"/>
      <c r="Y76" s="63"/>
      <c r="Z76" s="63"/>
      <c r="AA76" s="179">
        <f>'SP11-5'!AD43</f>
        <v>0</v>
      </c>
      <c r="AB76" s="63"/>
      <c r="AC76" s="174"/>
    </row>
    <row r="77" spans="1:29" ht="12.75" hidden="1" customHeight="1">
      <c r="A77" s="64"/>
      <c r="B77" s="63"/>
      <c r="C77" s="180">
        <f>IF(C74&gt;C75,IF(C74&gt;C76,C74,C76),IF(C75&gt;C76,C75,C76))</f>
        <v>0</v>
      </c>
      <c r="D77" s="181">
        <f>IF($C74&gt;$C75,IF($C74&gt;$C76,D74,D76),IF($C75&gt;$C76,D75,D76))</f>
        <v>0</v>
      </c>
      <c r="E77" s="181" t="e">
        <f>IF($C74&gt;$C75,IF($C74&gt;$C76,E74,E76),IF($C75&gt;$C76,E75,E76))</f>
        <v>#VALUE!</v>
      </c>
      <c r="F77" s="181"/>
      <c r="G77" s="181"/>
      <c r="H77" s="182">
        <f>'SP11-5'!J46</f>
        <v>0</v>
      </c>
      <c r="I77" s="181">
        <f>IF(H76&gt;H77,H76,H77)</f>
        <v>0</v>
      </c>
      <c r="J77" s="377"/>
      <c r="K77" s="182">
        <f>'SP11-5'!J46/'SP11-5'!G46*(('SP11-1'!$I$28-1+780*'SP11-1'!$I$41))</f>
        <v>0</v>
      </c>
      <c r="L77" s="181">
        <f>IF(K76&gt;K77,K76,K77)</f>
        <v>0</v>
      </c>
      <c r="M77" s="181"/>
      <c r="N77" s="377"/>
      <c r="O77" s="181"/>
      <c r="P77" s="379"/>
      <c r="Q77" s="181">
        <f>IF(Q74&gt;Q75,IF(Q74&gt;Q76,Q74,Q76),IF(Q75&gt;Q76,Q75,Q76))</f>
        <v>0</v>
      </c>
      <c r="R77" s="182">
        <f>'SP11-5'!AB47</f>
        <v>0</v>
      </c>
      <c r="S77" s="181">
        <f>IF(R76&gt;R77,R76,R77)</f>
        <v>0</v>
      </c>
      <c r="T77" s="183">
        <f>S75+S77</f>
        <v>0</v>
      </c>
      <c r="U77" s="63"/>
      <c r="V77" s="180">
        <f>IF(V74&gt;V75,IF(V74&gt;V76,V74,V76),IF(V75&gt;V76,V75,V76))</f>
        <v>0</v>
      </c>
      <c r="W77" s="181"/>
      <c r="X77" s="181"/>
      <c r="Y77" s="181"/>
      <c r="Z77" s="181"/>
      <c r="AA77" s="182">
        <f>'SP11-5'!AD47</f>
        <v>0</v>
      </c>
      <c r="AB77" s="181">
        <f>IF(AA76&gt;AA77,AA76,AA77)</f>
        <v>0</v>
      </c>
      <c r="AC77" s="183" t="e">
        <f>AB75+AB77</f>
        <v>#VALUE!</v>
      </c>
    </row>
    <row r="78" spans="1:29" ht="12.75" hidden="1" customHeight="1">
      <c r="A78" s="64">
        <v>2016</v>
      </c>
      <c r="B78" s="63">
        <v>2006</v>
      </c>
      <c r="C78" s="63"/>
      <c r="D78" s="63"/>
      <c r="E78" s="63"/>
      <c r="F78" s="63"/>
      <c r="G78" s="63"/>
      <c r="H78" s="63"/>
      <c r="I78" s="64">
        <f>I75+I77</f>
        <v>0</v>
      </c>
      <c r="J78" s="63"/>
      <c r="K78" s="63"/>
      <c r="L78" s="63">
        <f>(L75+L77)</f>
        <v>0</v>
      </c>
      <c r="M78" s="63"/>
      <c r="N78" s="63"/>
      <c r="O78" s="63"/>
      <c r="Q78" s="63"/>
      <c r="R78" s="63"/>
      <c r="S78" s="63"/>
      <c r="T78" s="63"/>
      <c r="U78" s="63"/>
      <c r="V78" s="63"/>
      <c r="W78" s="63"/>
      <c r="X78" s="63"/>
      <c r="Y78" s="63"/>
      <c r="Z78" s="63"/>
    </row>
    <row r="79" spans="1:29" ht="12.75" hidden="1" customHeight="1">
      <c r="A79" s="64">
        <v>2017</v>
      </c>
      <c r="B79" s="63">
        <v>2007</v>
      </c>
      <c r="C79" s="63"/>
      <c r="D79" s="63"/>
      <c r="E79" s="63"/>
      <c r="F79" s="63"/>
      <c r="G79" s="63"/>
      <c r="I79" s="63"/>
      <c r="J79" s="63"/>
      <c r="K79" s="63"/>
      <c r="L79" s="63"/>
      <c r="M79" s="63"/>
      <c r="N79" s="63"/>
      <c r="O79" s="63"/>
      <c r="Q79" s="63"/>
      <c r="R79" s="63"/>
      <c r="S79" s="63"/>
      <c r="T79" s="63"/>
      <c r="U79" s="63"/>
      <c r="V79" s="63"/>
      <c r="W79" s="63"/>
      <c r="X79" s="63"/>
      <c r="Y79" s="63"/>
      <c r="Z79" s="63"/>
    </row>
    <row r="80" spans="1:29" ht="13.5" hidden="1" customHeight="1">
      <c r="A80" s="64">
        <v>2018</v>
      </c>
      <c r="B80" s="63">
        <v>2008</v>
      </c>
      <c r="C80" s="63"/>
      <c r="D80" s="63"/>
      <c r="E80" s="63"/>
      <c r="F80" s="63"/>
      <c r="G80" s="63"/>
      <c r="I80" s="63"/>
      <c r="J80" s="63" t="s">
        <v>480</v>
      </c>
      <c r="K80" s="63"/>
      <c r="L80" s="63"/>
      <c r="M80" s="63"/>
      <c r="N80" s="63"/>
      <c r="O80" s="63"/>
      <c r="Q80" s="63"/>
      <c r="R80" s="63"/>
      <c r="S80" s="63"/>
      <c r="T80" s="63"/>
      <c r="U80" s="63"/>
      <c r="V80" s="63"/>
      <c r="W80" s="63"/>
      <c r="X80" s="63"/>
      <c r="Y80" s="63"/>
      <c r="Z80" s="63"/>
    </row>
    <row r="81" spans="1:26" ht="13.5" hidden="1" customHeight="1">
      <c r="A81" s="64">
        <v>2019</v>
      </c>
      <c r="B81" s="63">
        <v>2009</v>
      </c>
      <c r="C81" s="63"/>
      <c r="D81" s="63"/>
      <c r="E81" s="63"/>
      <c r="F81" s="63"/>
      <c r="G81" s="63"/>
      <c r="I81" s="63"/>
      <c r="J81" s="63" t="e">
        <f>'SP11-4'!G38</f>
        <v>#DIV/0!</v>
      </c>
      <c r="K81" s="63"/>
      <c r="L81" s="63"/>
      <c r="M81" s="63"/>
      <c r="N81" s="63"/>
      <c r="O81" s="63"/>
      <c r="Q81" s="63"/>
      <c r="R81" s="63"/>
      <c r="S81" s="63"/>
      <c r="T81" s="63"/>
      <c r="U81" s="63"/>
      <c r="V81" s="63"/>
      <c r="W81" s="63"/>
      <c r="X81" s="63"/>
      <c r="Y81" s="63"/>
      <c r="Z81" s="63"/>
    </row>
    <row r="82" spans="1:26" ht="12.75" hidden="1" customHeight="1">
      <c r="A82" s="64">
        <v>2020</v>
      </c>
      <c r="B82" s="63">
        <v>2010</v>
      </c>
      <c r="C82" s="63"/>
      <c r="D82" s="63"/>
      <c r="E82" s="63"/>
      <c r="F82" s="63"/>
      <c r="G82" s="63"/>
      <c r="H82" s="63"/>
      <c r="I82" s="63"/>
      <c r="J82" s="63"/>
      <c r="K82" s="63"/>
      <c r="L82" s="63"/>
      <c r="M82" s="63"/>
      <c r="N82" s="63"/>
      <c r="O82" s="63"/>
      <c r="Q82" s="63"/>
      <c r="R82" s="63"/>
      <c r="S82" s="63"/>
      <c r="T82" s="63"/>
      <c r="U82" s="63"/>
      <c r="V82" s="63"/>
      <c r="W82" s="63"/>
      <c r="X82" s="63"/>
      <c r="Y82" s="63"/>
      <c r="Z82" s="63"/>
    </row>
    <row r="83" spans="1:26" ht="12.75" hidden="1" customHeight="1">
      <c r="A83" s="64">
        <v>2021</v>
      </c>
      <c r="B83" s="63">
        <v>2011</v>
      </c>
      <c r="C83" s="86"/>
      <c r="D83" s="86"/>
      <c r="E83" s="63"/>
      <c r="F83" s="63"/>
      <c r="G83" s="63"/>
      <c r="H83" s="63"/>
      <c r="I83" s="63"/>
      <c r="J83" s="63"/>
      <c r="K83" s="63"/>
      <c r="L83" s="63"/>
      <c r="M83" s="63"/>
      <c r="N83" s="63"/>
      <c r="O83" s="63"/>
      <c r="Q83" s="63"/>
      <c r="R83" s="63"/>
      <c r="S83" s="63"/>
      <c r="T83" s="63"/>
      <c r="U83" s="63"/>
      <c r="V83" s="63"/>
      <c r="W83" s="63"/>
      <c r="X83" s="63"/>
      <c r="Y83" s="63"/>
      <c r="Z83" s="63"/>
    </row>
    <row r="84" spans="1:26" ht="12.75" hidden="1" customHeight="1">
      <c r="A84" s="62">
        <v>2022</v>
      </c>
      <c r="B84" s="63">
        <v>2012</v>
      </c>
      <c r="C84" s="63"/>
      <c r="D84" s="63"/>
      <c r="E84" s="63"/>
      <c r="F84" s="63"/>
      <c r="G84" s="63"/>
      <c r="H84" s="63"/>
      <c r="I84" s="63"/>
      <c r="J84" s="63"/>
      <c r="K84" s="63"/>
      <c r="L84" s="63"/>
      <c r="M84" s="63"/>
      <c r="N84" s="63"/>
      <c r="O84" s="63"/>
      <c r="Q84" s="63"/>
      <c r="R84" s="63"/>
      <c r="S84" s="63"/>
      <c r="T84" s="63"/>
      <c r="U84" s="63"/>
      <c r="V84" s="63"/>
      <c r="W84" s="63"/>
      <c r="X84" s="63"/>
      <c r="Y84" s="63"/>
      <c r="Z84" s="63"/>
    </row>
    <row r="85" spans="1:26" ht="12.75" hidden="1" customHeight="1">
      <c r="A85" s="62">
        <v>2023</v>
      </c>
      <c r="B85" s="63">
        <v>2013</v>
      </c>
      <c r="C85" s="63"/>
      <c r="D85" s="63"/>
      <c r="E85" s="63"/>
      <c r="F85" s="63"/>
      <c r="G85" s="63"/>
      <c r="H85" s="63"/>
      <c r="I85" s="63"/>
      <c r="J85" s="63"/>
      <c r="K85" s="63"/>
      <c r="L85" s="63"/>
      <c r="M85" s="63"/>
      <c r="N85" s="63"/>
      <c r="O85" s="63"/>
      <c r="Q85" s="63"/>
      <c r="R85" s="63"/>
      <c r="S85" s="63"/>
      <c r="T85" s="63"/>
      <c r="U85" s="63"/>
      <c r="V85" s="63"/>
      <c r="W85" s="63"/>
      <c r="X85" s="63"/>
      <c r="Y85" s="63"/>
      <c r="Z85" s="63"/>
    </row>
    <row r="86" spans="1:26" ht="12.75" hidden="1" customHeight="1">
      <c r="A86" s="62">
        <v>2024</v>
      </c>
      <c r="B86" s="61">
        <v>2014</v>
      </c>
    </row>
    <row r="87" spans="1:26" ht="12.75" hidden="1" customHeight="1">
      <c r="A87" s="62">
        <v>2025</v>
      </c>
      <c r="B87" s="61">
        <v>2015</v>
      </c>
    </row>
    <row r="88" spans="1:26" ht="12.75" hidden="1" customHeight="1">
      <c r="A88" s="62">
        <v>2026</v>
      </c>
      <c r="B88" s="61">
        <v>2016</v>
      </c>
    </row>
    <row r="89" spans="1:26" ht="12.75" hidden="1" customHeight="1">
      <c r="A89" s="62">
        <v>2027</v>
      </c>
      <c r="B89" s="61">
        <v>2017</v>
      </c>
    </row>
    <row r="90" spans="1:26" ht="12.75" hidden="1" customHeight="1">
      <c r="A90" s="62">
        <v>2028</v>
      </c>
      <c r="B90" s="61">
        <v>2018</v>
      </c>
    </row>
    <row r="91" spans="1:26" ht="12.75" hidden="1" customHeight="1">
      <c r="A91" s="62">
        <v>2029</v>
      </c>
      <c r="B91" s="61">
        <v>2019</v>
      </c>
    </row>
    <row r="92" spans="1:26" ht="12.75" hidden="1" customHeight="1">
      <c r="A92" s="62">
        <v>2030</v>
      </c>
      <c r="B92" s="61">
        <v>2020</v>
      </c>
    </row>
    <row r="93" spans="1:26" ht="12.75" hidden="1" customHeight="1">
      <c r="A93" s="62">
        <v>2031</v>
      </c>
      <c r="B93" s="61">
        <v>2021</v>
      </c>
    </row>
    <row r="94" spans="1:26" ht="12.75" hidden="1" customHeight="1">
      <c r="A94" s="62">
        <v>2032</v>
      </c>
      <c r="B94" s="61">
        <v>2022</v>
      </c>
    </row>
    <row r="95" spans="1:26" ht="12.75" hidden="1" customHeight="1">
      <c r="A95" s="62">
        <v>2033</v>
      </c>
      <c r="B95" s="61">
        <v>2023</v>
      </c>
    </row>
    <row r="96" spans="1:26" ht="12.75" hidden="1" customHeight="1">
      <c r="A96" s="62">
        <v>2034</v>
      </c>
      <c r="B96" s="61">
        <v>2024</v>
      </c>
    </row>
    <row r="97" spans="1:2" ht="12.75" hidden="1" customHeight="1">
      <c r="A97" s="62">
        <v>2035</v>
      </c>
      <c r="B97" s="61">
        <v>2025</v>
      </c>
    </row>
    <row r="98" spans="1:2" ht="12.75" hidden="1" customHeight="1">
      <c r="A98" s="62">
        <v>2036</v>
      </c>
      <c r="B98" s="61">
        <v>2026</v>
      </c>
    </row>
    <row r="99" spans="1:2" ht="12.75" hidden="1" customHeight="1">
      <c r="A99" s="62">
        <v>2037</v>
      </c>
      <c r="B99" s="61">
        <v>2027</v>
      </c>
    </row>
    <row r="100" spans="1:2" ht="12.75" hidden="1" customHeight="1">
      <c r="A100" s="62">
        <v>2038</v>
      </c>
      <c r="B100" s="61">
        <v>2028</v>
      </c>
    </row>
    <row r="101" spans="1:2" ht="12.75" hidden="1" customHeight="1">
      <c r="A101" s="62">
        <v>2039</v>
      </c>
      <c r="B101" s="61">
        <v>2029</v>
      </c>
    </row>
    <row r="102" spans="1:2" ht="12.75" hidden="1" customHeight="1">
      <c r="A102" s="62">
        <v>2040</v>
      </c>
      <c r="B102" s="61">
        <v>2030</v>
      </c>
    </row>
    <row r="103" spans="1:2" ht="12.75" hidden="1" customHeight="1">
      <c r="A103" s="62">
        <v>2041</v>
      </c>
      <c r="B103" s="61">
        <v>2031</v>
      </c>
    </row>
    <row r="104" spans="1:2" ht="12.75" hidden="1" customHeight="1">
      <c r="A104" s="62">
        <v>2042</v>
      </c>
      <c r="B104" s="61">
        <v>2032</v>
      </c>
    </row>
    <row r="105" spans="1:2" ht="12.75" hidden="1" customHeight="1">
      <c r="A105" s="62">
        <v>2043</v>
      </c>
      <c r="B105" s="61">
        <v>2033</v>
      </c>
    </row>
    <row r="106" spans="1:2" ht="12.75" hidden="1" customHeight="1">
      <c r="A106" s="62">
        <v>2044</v>
      </c>
      <c r="B106" s="61">
        <v>2034</v>
      </c>
    </row>
    <row r="107" spans="1:2" ht="12.75" hidden="1" customHeight="1">
      <c r="A107" s="62">
        <v>2045</v>
      </c>
      <c r="B107" s="61">
        <v>2035</v>
      </c>
    </row>
    <row r="108" spans="1:2" ht="12.75" hidden="1" customHeight="1">
      <c r="A108" s="62">
        <v>2046</v>
      </c>
      <c r="B108" s="61">
        <v>2036</v>
      </c>
    </row>
    <row r="109" spans="1:2" ht="12.75" hidden="1" customHeight="1">
      <c r="A109" s="62">
        <v>2047</v>
      </c>
    </row>
    <row r="110" spans="1:2" hidden="1">
      <c r="A110" s="62">
        <v>2048</v>
      </c>
    </row>
    <row r="111" spans="1:2" hidden="1">
      <c r="A111" s="62">
        <v>2049</v>
      </c>
    </row>
    <row r="112" spans="1:2" hidden="1">
      <c r="A112" s="62">
        <v>2050</v>
      </c>
    </row>
    <row r="113" spans="1:1" hidden="1">
      <c r="A113" s="62">
        <v>2051</v>
      </c>
    </row>
    <row r="114" spans="1:1" hidden="1">
      <c r="A114" s="62">
        <v>2052</v>
      </c>
    </row>
    <row r="115" spans="1:1" hidden="1">
      <c r="A115" s="62">
        <v>2053</v>
      </c>
    </row>
    <row r="116" spans="1:1" hidden="1">
      <c r="A116" s="62">
        <v>2054</v>
      </c>
    </row>
    <row r="117" spans="1:1" hidden="1">
      <c r="A117" s="62">
        <v>2055</v>
      </c>
    </row>
    <row r="118" spans="1:1" hidden="1">
      <c r="A118" s="62">
        <v>2056</v>
      </c>
    </row>
    <row r="119" spans="1:1" hidden="1">
      <c r="A119" s="62">
        <v>2057</v>
      </c>
    </row>
    <row r="120" spans="1:1" hidden="1">
      <c r="A120" s="62">
        <v>2058</v>
      </c>
    </row>
    <row r="121" spans="1:1" hidden="1">
      <c r="A121" s="62">
        <v>2059</v>
      </c>
    </row>
    <row r="122" spans="1:1" hidden="1">
      <c r="A122" s="62">
        <v>2060</v>
      </c>
    </row>
    <row r="123" spans="1:1" hidden="1">
      <c r="A123" s="62">
        <v>2061</v>
      </c>
    </row>
  </sheetData>
  <sheetProtection algorithmName="SHA-512" hashValue="ngmWwkm9MVHJe95rWrO0JPWZGs4Gsn0dHmUYh6Jw84/3CoAFDxdczSgv/Ob74vCXhlzd2gznnuthdqwPaxr+1A==" saltValue="erngLuxSZzmrqAn7MVEFeQ==" spinCount="100000" sheet="1" selectLockedCells="1"/>
  <protectedRanges>
    <protectedRange sqref="E56:F59" name="Range15_1"/>
    <protectedRange sqref="M37:N37 J56:K59" name="Range14_1"/>
    <protectedRange sqref="M52 M49:N49 Z49:AC49 Z52 AB52" name="Range13"/>
    <protectedRange sqref="M52 M49:N49 Z49:AC49 Z52 AB52" name="Range12"/>
    <protectedRange sqref="C8:N9" name="Range1_1"/>
    <protectedRange sqref="E12:N16" name="Range2_1"/>
    <protectedRange sqref="E19:N19" name="Range3_1"/>
    <protectedRange sqref="E22:N23" name="Range5_1_1"/>
  </protectedRanges>
  <mergeCells count="91">
    <mergeCell ref="Q8:U9"/>
    <mergeCell ref="C9:N9"/>
    <mergeCell ref="B11:C11"/>
    <mergeCell ref="E12:N12"/>
    <mergeCell ref="E59:F59"/>
    <mergeCell ref="J59:K59"/>
    <mergeCell ref="M59:N59"/>
    <mergeCell ref="E22:N22"/>
    <mergeCell ref="E23:N23"/>
    <mergeCell ref="I26:N26"/>
    <mergeCell ref="B21:C21"/>
    <mergeCell ref="E16:N16"/>
    <mergeCell ref="E19:N19"/>
    <mergeCell ref="Q26:U26"/>
    <mergeCell ref="I27:N27"/>
    <mergeCell ref="B31:C31"/>
    <mergeCell ref="B4:O5"/>
    <mergeCell ref="C8:N8"/>
    <mergeCell ref="E13:N13"/>
    <mergeCell ref="E14:N14"/>
    <mergeCell ref="E15:N15"/>
    <mergeCell ref="I32:N32"/>
    <mergeCell ref="I33:N33"/>
    <mergeCell ref="Q33:U33"/>
    <mergeCell ref="I29:N29"/>
    <mergeCell ref="I28:N28"/>
    <mergeCell ref="I34:L34"/>
    <mergeCell ref="Q34:U34"/>
    <mergeCell ref="I39:L39"/>
    <mergeCell ref="Q39:U46"/>
    <mergeCell ref="I40:L40"/>
    <mergeCell ref="I41:L41"/>
    <mergeCell ref="I42:L42"/>
    <mergeCell ref="I43:L43"/>
    <mergeCell ref="I44:L44"/>
    <mergeCell ref="I45:L45"/>
    <mergeCell ref="I46:L46"/>
    <mergeCell ref="B36:D36"/>
    <mergeCell ref="I37:J37"/>
    <mergeCell ref="M37:N37"/>
    <mergeCell ref="Q37:U38"/>
    <mergeCell ref="I38:L38"/>
    <mergeCell ref="B49:C49"/>
    <mergeCell ref="Q49:U49"/>
    <mergeCell ref="Z49:AA49"/>
    <mergeCell ref="AB49:AC49"/>
    <mergeCell ref="B52:D52"/>
    <mergeCell ref="M52:N52"/>
    <mergeCell ref="Q52:U52"/>
    <mergeCell ref="Z52:AA52"/>
    <mergeCell ref="AB52:AC52"/>
    <mergeCell ref="M49:N49"/>
    <mergeCell ref="B55:E55"/>
    <mergeCell ref="E56:F56"/>
    <mergeCell ref="J56:K56"/>
    <mergeCell ref="M56:N56"/>
    <mergeCell ref="Q56:U58"/>
    <mergeCell ref="E58:F58"/>
    <mergeCell ref="J58:K58"/>
    <mergeCell ref="M58:N58"/>
    <mergeCell ref="AB56:AC56"/>
    <mergeCell ref="E57:F57"/>
    <mergeCell ref="J57:K57"/>
    <mergeCell ref="M57:N57"/>
    <mergeCell ref="Z57:AA57"/>
    <mergeCell ref="AB57:AC57"/>
    <mergeCell ref="Z56:AA56"/>
    <mergeCell ref="AB58:AC58"/>
    <mergeCell ref="A62:A63"/>
    <mergeCell ref="B62:B63"/>
    <mergeCell ref="C62:D62"/>
    <mergeCell ref="E62:E63"/>
    <mergeCell ref="F62:H62"/>
    <mergeCell ref="I62:I63"/>
    <mergeCell ref="J62:K62"/>
    <mergeCell ref="L62:L63"/>
    <mergeCell ref="M62:N63"/>
    <mergeCell ref="Z58:AA58"/>
    <mergeCell ref="A67:A68"/>
    <mergeCell ref="B67:B68"/>
    <mergeCell ref="C67:D67"/>
    <mergeCell ref="I67:I68"/>
    <mergeCell ref="J67:K67"/>
    <mergeCell ref="M67:N68"/>
    <mergeCell ref="C68:D68"/>
    <mergeCell ref="J68:K68"/>
    <mergeCell ref="Q62:Q63"/>
    <mergeCell ref="C63:D63"/>
    <mergeCell ref="F63:H63"/>
    <mergeCell ref="J63:K63"/>
    <mergeCell ref="L67:L68"/>
  </mergeCells>
  <dataValidations count="4">
    <dataValidation type="list" allowBlank="1" showInputMessage="1" showErrorMessage="1" sqref="JI37:JJ37 TE37:TF37 ADA37:ADB37 AMW37:AMX37 AWS37:AWT37 BGO37:BGP37 BQK37:BQL37 CAG37:CAH37 CKC37:CKD37 CTY37:CTZ37 DDU37:DDV37 DNQ37:DNR37 DXM37:DXN37 EHI37:EHJ37 ERE37:ERF37 FBA37:FBB37 FKW37:FKX37 FUS37:FUT37 GEO37:GEP37 GOK37:GOL37 GYG37:GYH37 HIC37:HID37 HRY37:HRZ37 IBU37:IBV37 ILQ37:ILR37 IVM37:IVN37 JFI37:JFJ37 JPE37:JPF37 JZA37:JZB37 KIW37:KIX37 KSS37:KST37 LCO37:LCP37 LMK37:LML37 LWG37:LWH37 MGC37:MGD37 MPY37:MPZ37 MZU37:MZV37 NJQ37:NJR37 NTM37:NTN37 ODI37:ODJ37 ONE37:ONF37 OXA37:OXB37 PGW37:PGX37 PQS37:PQT37 QAO37:QAP37 QKK37:QKL37 QUG37:QUH37 REC37:RED37 RNY37:RNZ37 RXU37:RXV37 SHQ37:SHR37 SRM37:SRN37 TBI37:TBJ37 TLE37:TLF37 TVA37:TVB37 UEW37:UEX37 UOS37:UOT37 UYO37:UYP37 VIK37:VIL37 VSG37:VSH37 WCC37:WCD37 WLY37:WLZ37 WVU37:WVV37 M65574:N65574 JI65574:JJ65574 TE65574:TF65574 ADA65574:ADB65574 AMW65574:AMX65574 AWS65574:AWT65574 BGO65574:BGP65574 BQK65574:BQL65574 CAG65574:CAH65574 CKC65574:CKD65574 CTY65574:CTZ65574 DDU65574:DDV65574 DNQ65574:DNR65574 DXM65574:DXN65574 EHI65574:EHJ65574 ERE65574:ERF65574 FBA65574:FBB65574 FKW65574:FKX65574 FUS65574:FUT65574 GEO65574:GEP65574 GOK65574:GOL65574 GYG65574:GYH65574 HIC65574:HID65574 HRY65574:HRZ65574 IBU65574:IBV65574 ILQ65574:ILR65574 IVM65574:IVN65574 JFI65574:JFJ65574 JPE65574:JPF65574 JZA65574:JZB65574 KIW65574:KIX65574 KSS65574:KST65574 LCO65574:LCP65574 LMK65574:LML65574 LWG65574:LWH65574 MGC65574:MGD65574 MPY65574:MPZ65574 MZU65574:MZV65574 NJQ65574:NJR65574 NTM65574:NTN65574 ODI65574:ODJ65574 ONE65574:ONF65574 OXA65574:OXB65574 PGW65574:PGX65574 PQS65574:PQT65574 QAO65574:QAP65574 QKK65574:QKL65574 QUG65574:QUH65574 REC65574:RED65574 RNY65574:RNZ65574 RXU65574:RXV65574 SHQ65574:SHR65574 SRM65574:SRN65574 TBI65574:TBJ65574 TLE65574:TLF65574 TVA65574:TVB65574 UEW65574:UEX65574 UOS65574:UOT65574 UYO65574:UYP65574 VIK65574:VIL65574 VSG65574:VSH65574 WCC65574:WCD65574 WLY65574:WLZ65574 WVU65574:WVV65574 M131110:N131110 JI131110:JJ131110 TE131110:TF131110 ADA131110:ADB131110 AMW131110:AMX131110 AWS131110:AWT131110 BGO131110:BGP131110 BQK131110:BQL131110 CAG131110:CAH131110 CKC131110:CKD131110 CTY131110:CTZ131110 DDU131110:DDV131110 DNQ131110:DNR131110 DXM131110:DXN131110 EHI131110:EHJ131110 ERE131110:ERF131110 FBA131110:FBB131110 FKW131110:FKX131110 FUS131110:FUT131110 GEO131110:GEP131110 GOK131110:GOL131110 GYG131110:GYH131110 HIC131110:HID131110 HRY131110:HRZ131110 IBU131110:IBV131110 ILQ131110:ILR131110 IVM131110:IVN131110 JFI131110:JFJ131110 JPE131110:JPF131110 JZA131110:JZB131110 KIW131110:KIX131110 KSS131110:KST131110 LCO131110:LCP131110 LMK131110:LML131110 LWG131110:LWH131110 MGC131110:MGD131110 MPY131110:MPZ131110 MZU131110:MZV131110 NJQ131110:NJR131110 NTM131110:NTN131110 ODI131110:ODJ131110 ONE131110:ONF131110 OXA131110:OXB131110 PGW131110:PGX131110 PQS131110:PQT131110 QAO131110:QAP131110 QKK131110:QKL131110 QUG131110:QUH131110 REC131110:RED131110 RNY131110:RNZ131110 RXU131110:RXV131110 SHQ131110:SHR131110 SRM131110:SRN131110 TBI131110:TBJ131110 TLE131110:TLF131110 TVA131110:TVB131110 UEW131110:UEX131110 UOS131110:UOT131110 UYO131110:UYP131110 VIK131110:VIL131110 VSG131110:VSH131110 WCC131110:WCD131110 WLY131110:WLZ131110 WVU131110:WVV131110 M196646:N196646 JI196646:JJ196646 TE196646:TF196646 ADA196646:ADB196646 AMW196646:AMX196646 AWS196646:AWT196646 BGO196646:BGP196646 BQK196646:BQL196646 CAG196646:CAH196646 CKC196646:CKD196646 CTY196646:CTZ196646 DDU196646:DDV196646 DNQ196646:DNR196646 DXM196646:DXN196646 EHI196646:EHJ196646 ERE196646:ERF196646 FBA196646:FBB196646 FKW196646:FKX196646 FUS196646:FUT196646 GEO196646:GEP196646 GOK196646:GOL196646 GYG196646:GYH196646 HIC196646:HID196646 HRY196646:HRZ196646 IBU196646:IBV196646 ILQ196646:ILR196646 IVM196646:IVN196646 JFI196646:JFJ196646 JPE196646:JPF196646 JZA196646:JZB196646 KIW196646:KIX196646 KSS196646:KST196646 LCO196646:LCP196646 LMK196646:LML196646 LWG196646:LWH196646 MGC196646:MGD196646 MPY196646:MPZ196646 MZU196646:MZV196646 NJQ196646:NJR196646 NTM196646:NTN196646 ODI196646:ODJ196646 ONE196646:ONF196646 OXA196646:OXB196646 PGW196646:PGX196646 PQS196646:PQT196646 QAO196646:QAP196646 QKK196646:QKL196646 QUG196646:QUH196646 REC196646:RED196646 RNY196646:RNZ196646 RXU196646:RXV196646 SHQ196646:SHR196646 SRM196646:SRN196646 TBI196646:TBJ196646 TLE196646:TLF196646 TVA196646:TVB196646 UEW196646:UEX196646 UOS196646:UOT196646 UYO196646:UYP196646 VIK196646:VIL196646 VSG196646:VSH196646 WCC196646:WCD196646 WLY196646:WLZ196646 WVU196646:WVV196646 M262182:N262182 JI262182:JJ262182 TE262182:TF262182 ADA262182:ADB262182 AMW262182:AMX262182 AWS262182:AWT262182 BGO262182:BGP262182 BQK262182:BQL262182 CAG262182:CAH262182 CKC262182:CKD262182 CTY262182:CTZ262182 DDU262182:DDV262182 DNQ262182:DNR262182 DXM262182:DXN262182 EHI262182:EHJ262182 ERE262182:ERF262182 FBA262182:FBB262182 FKW262182:FKX262182 FUS262182:FUT262182 GEO262182:GEP262182 GOK262182:GOL262182 GYG262182:GYH262182 HIC262182:HID262182 HRY262182:HRZ262182 IBU262182:IBV262182 ILQ262182:ILR262182 IVM262182:IVN262182 JFI262182:JFJ262182 JPE262182:JPF262182 JZA262182:JZB262182 KIW262182:KIX262182 KSS262182:KST262182 LCO262182:LCP262182 LMK262182:LML262182 LWG262182:LWH262182 MGC262182:MGD262182 MPY262182:MPZ262182 MZU262182:MZV262182 NJQ262182:NJR262182 NTM262182:NTN262182 ODI262182:ODJ262182 ONE262182:ONF262182 OXA262182:OXB262182 PGW262182:PGX262182 PQS262182:PQT262182 QAO262182:QAP262182 QKK262182:QKL262182 QUG262182:QUH262182 REC262182:RED262182 RNY262182:RNZ262182 RXU262182:RXV262182 SHQ262182:SHR262182 SRM262182:SRN262182 TBI262182:TBJ262182 TLE262182:TLF262182 TVA262182:TVB262182 UEW262182:UEX262182 UOS262182:UOT262182 UYO262182:UYP262182 VIK262182:VIL262182 VSG262182:VSH262182 WCC262182:WCD262182 WLY262182:WLZ262182 WVU262182:WVV262182 M327718:N327718 JI327718:JJ327718 TE327718:TF327718 ADA327718:ADB327718 AMW327718:AMX327718 AWS327718:AWT327718 BGO327718:BGP327718 BQK327718:BQL327718 CAG327718:CAH327718 CKC327718:CKD327718 CTY327718:CTZ327718 DDU327718:DDV327718 DNQ327718:DNR327718 DXM327718:DXN327718 EHI327718:EHJ327718 ERE327718:ERF327718 FBA327718:FBB327718 FKW327718:FKX327718 FUS327718:FUT327718 GEO327718:GEP327718 GOK327718:GOL327718 GYG327718:GYH327718 HIC327718:HID327718 HRY327718:HRZ327718 IBU327718:IBV327718 ILQ327718:ILR327718 IVM327718:IVN327718 JFI327718:JFJ327718 JPE327718:JPF327718 JZA327718:JZB327718 KIW327718:KIX327718 KSS327718:KST327718 LCO327718:LCP327718 LMK327718:LML327718 LWG327718:LWH327718 MGC327718:MGD327718 MPY327718:MPZ327718 MZU327718:MZV327718 NJQ327718:NJR327718 NTM327718:NTN327718 ODI327718:ODJ327718 ONE327718:ONF327718 OXA327718:OXB327718 PGW327718:PGX327718 PQS327718:PQT327718 QAO327718:QAP327718 QKK327718:QKL327718 QUG327718:QUH327718 REC327718:RED327718 RNY327718:RNZ327718 RXU327718:RXV327718 SHQ327718:SHR327718 SRM327718:SRN327718 TBI327718:TBJ327718 TLE327718:TLF327718 TVA327718:TVB327718 UEW327718:UEX327718 UOS327718:UOT327718 UYO327718:UYP327718 VIK327718:VIL327718 VSG327718:VSH327718 WCC327718:WCD327718 WLY327718:WLZ327718 WVU327718:WVV327718 M393254:N393254 JI393254:JJ393254 TE393254:TF393254 ADA393254:ADB393254 AMW393254:AMX393254 AWS393254:AWT393254 BGO393254:BGP393254 BQK393254:BQL393254 CAG393254:CAH393254 CKC393254:CKD393254 CTY393254:CTZ393254 DDU393254:DDV393254 DNQ393254:DNR393254 DXM393254:DXN393254 EHI393254:EHJ393254 ERE393254:ERF393254 FBA393254:FBB393254 FKW393254:FKX393254 FUS393254:FUT393254 GEO393254:GEP393254 GOK393254:GOL393254 GYG393254:GYH393254 HIC393254:HID393254 HRY393254:HRZ393254 IBU393254:IBV393254 ILQ393254:ILR393254 IVM393254:IVN393254 JFI393254:JFJ393254 JPE393254:JPF393254 JZA393254:JZB393254 KIW393254:KIX393254 KSS393254:KST393254 LCO393254:LCP393254 LMK393254:LML393254 LWG393254:LWH393254 MGC393254:MGD393254 MPY393254:MPZ393254 MZU393254:MZV393254 NJQ393254:NJR393254 NTM393254:NTN393254 ODI393254:ODJ393254 ONE393254:ONF393254 OXA393254:OXB393254 PGW393254:PGX393254 PQS393254:PQT393254 QAO393254:QAP393254 QKK393254:QKL393254 QUG393254:QUH393254 REC393254:RED393254 RNY393254:RNZ393254 RXU393254:RXV393254 SHQ393254:SHR393254 SRM393254:SRN393254 TBI393254:TBJ393254 TLE393254:TLF393254 TVA393254:TVB393254 UEW393254:UEX393254 UOS393254:UOT393254 UYO393254:UYP393254 VIK393254:VIL393254 VSG393254:VSH393254 WCC393254:WCD393254 WLY393254:WLZ393254 WVU393254:WVV393254 M458790:N458790 JI458790:JJ458790 TE458790:TF458790 ADA458790:ADB458790 AMW458790:AMX458790 AWS458790:AWT458790 BGO458790:BGP458790 BQK458790:BQL458790 CAG458790:CAH458790 CKC458790:CKD458790 CTY458790:CTZ458790 DDU458790:DDV458790 DNQ458790:DNR458790 DXM458790:DXN458790 EHI458790:EHJ458790 ERE458790:ERF458790 FBA458790:FBB458790 FKW458790:FKX458790 FUS458790:FUT458790 GEO458790:GEP458790 GOK458790:GOL458790 GYG458790:GYH458790 HIC458790:HID458790 HRY458790:HRZ458790 IBU458790:IBV458790 ILQ458790:ILR458790 IVM458790:IVN458790 JFI458790:JFJ458790 JPE458790:JPF458790 JZA458790:JZB458790 KIW458790:KIX458790 KSS458790:KST458790 LCO458790:LCP458790 LMK458790:LML458790 LWG458790:LWH458790 MGC458790:MGD458790 MPY458790:MPZ458790 MZU458790:MZV458790 NJQ458790:NJR458790 NTM458790:NTN458790 ODI458790:ODJ458790 ONE458790:ONF458790 OXA458790:OXB458790 PGW458790:PGX458790 PQS458790:PQT458790 QAO458790:QAP458790 QKK458790:QKL458790 QUG458790:QUH458790 REC458790:RED458790 RNY458790:RNZ458790 RXU458790:RXV458790 SHQ458790:SHR458790 SRM458790:SRN458790 TBI458790:TBJ458790 TLE458790:TLF458790 TVA458790:TVB458790 UEW458790:UEX458790 UOS458790:UOT458790 UYO458790:UYP458790 VIK458790:VIL458790 VSG458790:VSH458790 WCC458790:WCD458790 WLY458790:WLZ458790 WVU458790:WVV458790 M524326:N524326 JI524326:JJ524326 TE524326:TF524326 ADA524326:ADB524326 AMW524326:AMX524326 AWS524326:AWT524326 BGO524326:BGP524326 BQK524326:BQL524326 CAG524326:CAH524326 CKC524326:CKD524326 CTY524326:CTZ524326 DDU524326:DDV524326 DNQ524326:DNR524326 DXM524326:DXN524326 EHI524326:EHJ524326 ERE524326:ERF524326 FBA524326:FBB524326 FKW524326:FKX524326 FUS524326:FUT524326 GEO524326:GEP524326 GOK524326:GOL524326 GYG524326:GYH524326 HIC524326:HID524326 HRY524326:HRZ524326 IBU524326:IBV524326 ILQ524326:ILR524326 IVM524326:IVN524326 JFI524326:JFJ524326 JPE524326:JPF524326 JZA524326:JZB524326 KIW524326:KIX524326 KSS524326:KST524326 LCO524326:LCP524326 LMK524326:LML524326 LWG524326:LWH524326 MGC524326:MGD524326 MPY524326:MPZ524326 MZU524326:MZV524326 NJQ524326:NJR524326 NTM524326:NTN524326 ODI524326:ODJ524326 ONE524326:ONF524326 OXA524326:OXB524326 PGW524326:PGX524326 PQS524326:PQT524326 QAO524326:QAP524326 QKK524326:QKL524326 QUG524326:QUH524326 REC524326:RED524326 RNY524326:RNZ524326 RXU524326:RXV524326 SHQ524326:SHR524326 SRM524326:SRN524326 TBI524326:TBJ524326 TLE524326:TLF524326 TVA524326:TVB524326 UEW524326:UEX524326 UOS524326:UOT524326 UYO524326:UYP524326 VIK524326:VIL524326 VSG524326:VSH524326 WCC524326:WCD524326 WLY524326:WLZ524326 WVU524326:WVV524326 M589862:N589862 JI589862:JJ589862 TE589862:TF589862 ADA589862:ADB589862 AMW589862:AMX589862 AWS589862:AWT589862 BGO589862:BGP589862 BQK589862:BQL589862 CAG589862:CAH589862 CKC589862:CKD589862 CTY589862:CTZ589862 DDU589862:DDV589862 DNQ589862:DNR589862 DXM589862:DXN589862 EHI589862:EHJ589862 ERE589862:ERF589862 FBA589862:FBB589862 FKW589862:FKX589862 FUS589862:FUT589862 GEO589862:GEP589862 GOK589862:GOL589862 GYG589862:GYH589862 HIC589862:HID589862 HRY589862:HRZ589862 IBU589862:IBV589862 ILQ589862:ILR589862 IVM589862:IVN589862 JFI589862:JFJ589862 JPE589862:JPF589862 JZA589862:JZB589862 KIW589862:KIX589862 KSS589862:KST589862 LCO589862:LCP589862 LMK589862:LML589862 LWG589862:LWH589862 MGC589862:MGD589862 MPY589862:MPZ589862 MZU589862:MZV589862 NJQ589862:NJR589862 NTM589862:NTN589862 ODI589862:ODJ589862 ONE589862:ONF589862 OXA589862:OXB589862 PGW589862:PGX589862 PQS589862:PQT589862 QAO589862:QAP589862 QKK589862:QKL589862 QUG589862:QUH589862 REC589862:RED589862 RNY589862:RNZ589862 RXU589862:RXV589862 SHQ589862:SHR589862 SRM589862:SRN589862 TBI589862:TBJ589862 TLE589862:TLF589862 TVA589862:TVB589862 UEW589862:UEX589862 UOS589862:UOT589862 UYO589862:UYP589862 VIK589862:VIL589862 VSG589862:VSH589862 WCC589862:WCD589862 WLY589862:WLZ589862 WVU589862:WVV589862 M655398:N655398 JI655398:JJ655398 TE655398:TF655398 ADA655398:ADB655398 AMW655398:AMX655398 AWS655398:AWT655398 BGO655398:BGP655398 BQK655398:BQL655398 CAG655398:CAH655398 CKC655398:CKD655398 CTY655398:CTZ655398 DDU655398:DDV655398 DNQ655398:DNR655398 DXM655398:DXN655398 EHI655398:EHJ655398 ERE655398:ERF655398 FBA655398:FBB655398 FKW655398:FKX655398 FUS655398:FUT655398 GEO655398:GEP655398 GOK655398:GOL655398 GYG655398:GYH655398 HIC655398:HID655398 HRY655398:HRZ655398 IBU655398:IBV655398 ILQ655398:ILR655398 IVM655398:IVN655398 JFI655398:JFJ655398 JPE655398:JPF655398 JZA655398:JZB655398 KIW655398:KIX655398 KSS655398:KST655398 LCO655398:LCP655398 LMK655398:LML655398 LWG655398:LWH655398 MGC655398:MGD655398 MPY655398:MPZ655398 MZU655398:MZV655398 NJQ655398:NJR655398 NTM655398:NTN655398 ODI655398:ODJ655398 ONE655398:ONF655398 OXA655398:OXB655398 PGW655398:PGX655398 PQS655398:PQT655398 QAO655398:QAP655398 QKK655398:QKL655398 QUG655398:QUH655398 REC655398:RED655398 RNY655398:RNZ655398 RXU655398:RXV655398 SHQ655398:SHR655398 SRM655398:SRN655398 TBI655398:TBJ655398 TLE655398:TLF655398 TVA655398:TVB655398 UEW655398:UEX655398 UOS655398:UOT655398 UYO655398:UYP655398 VIK655398:VIL655398 VSG655398:VSH655398 WCC655398:WCD655398 WLY655398:WLZ655398 WVU655398:WVV655398 M720934:N720934 JI720934:JJ720934 TE720934:TF720934 ADA720934:ADB720934 AMW720934:AMX720934 AWS720934:AWT720934 BGO720934:BGP720934 BQK720934:BQL720934 CAG720934:CAH720934 CKC720934:CKD720934 CTY720934:CTZ720934 DDU720934:DDV720934 DNQ720934:DNR720934 DXM720934:DXN720934 EHI720934:EHJ720934 ERE720934:ERF720934 FBA720934:FBB720934 FKW720934:FKX720934 FUS720934:FUT720934 GEO720934:GEP720934 GOK720934:GOL720934 GYG720934:GYH720934 HIC720934:HID720934 HRY720934:HRZ720934 IBU720934:IBV720934 ILQ720934:ILR720934 IVM720934:IVN720934 JFI720934:JFJ720934 JPE720934:JPF720934 JZA720934:JZB720934 KIW720934:KIX720934 KSS720934:KST720934 LCO720934:LCP720934 LMK720934:LML720934 LWG720934:LWH720934 MGC720934:MGD720934 MPY720934:MPZ720934 MZU720934:MZV720934 NJQ720934:NJR720934 NTM720934:NTN720934 ODI720934:ODJ720934 ONE720934:ONF720934 OXA720934:OXB720934 PGW720934:PGX720934 PQS720934:PQT720934 QAO720934:QAP720934 QKK720934:QKL720934 QUG720934:QUH720934 REC720934:RED720934 RNY720934:RNZ720934 RXU720934:RXV720934 SHQ720934:SHR720934 SRM720934:SRN720934 TBI720934:TBJ720934 TLE720934:TLF720934 TVA720934:TVB720934 UEW720934:UEX720934 UOS720934:UOT720934 UYO720934:UYP720934 VIK720934:VIL720934 VSG720934:VSH720934 WCC720934:WCD720934 WLY720934:WLZ720934 WVU720934:WVV720934 M786470:N786470 JI786470:JJ786470 TE786470:TF786470 ADA786470:ADB786470 AMW786470:AMX786470 AWS786470:AWT786470 BGO786470:BGP786470 BQK786470:BQL786470 CAG786470:CAH786470 CKC786470:CKD786470 CTY786470:CTZ786470 DDU786470:DDV786470 DNQ786470:DNR786470 DXM786470:DXN786470 EHI786470:EHJ786470 ERE786470:ERF786470 FBA786470:FBB786470 FKW786470:FKX786470 FUS786470:FUT786470 GEO786470:GEP786470 GOK786470:GOL786470 GYG786470:GYH786470 HIC786470:HID786470 HRY786470:HRZ786470 IBU786470:IBV786470 ILQ786470:ILR786470 IVM786470:IVN786470 JFI786470:JFJ786470 JPE786470:JPF786470 JZA786470:JZB786470 KIW786470:KIX786470 KSS786470:KST786470 LCO786470:LCP786470 LMK786470:LML786470 LWG786470:LWH786470 MGC786470:MGD786470 MPY786470:MPZ786470 MZU786470:MZV786470 NJQ786470:NJR786470 NTM786470:NTN786470 ODI786470:ODJ786470 ONE786470:ONF786470 OXA786470:OXB786470 PGW786470:PGX786470 PQS786470:PQT786470 QAO786470:QAP786470 QKK786470:QKL786470 QUG786470:QUH786470 REC786470:RED786470 RNY786470:RNZ786470 RXU786470:RXV786470 SHQ786470:SHR786470 SRM786470:SRN786470 TBI786470:TBJ786470 TLE786470:TLF786470 TVA786470:TVB786470 UEW786470:UEX786470 UOS786470:UOT786470 UYO786470:UYP786470 VIK786470:VIL786470 VSG786470:VSH786470 WCC786470:WCD786470 WLY786470:WLZ786470 WVU786470:WVV786470 M852006:N852006 JI852006:JJ852006 TE852006:TF852006 ADA852006:ADB852006 AMW852006:AMX852006 AWS852006:AWT852006 BGO852006:BGP852006 BQK852006:BQL852006 CAG852006:CAH852006 CKC852006:CKD852006 CTY852006:CTZ852006 DDU852006:DDV852006 DNQ852006:DNR852006 DXM852006:DXN852006 EHI852006:EHJ852006 ERE852006:ERF852006 FBA852006:FBB852006 FKW852006:FKX852006 FUS852006:FUT852006 GEO852006:GEP852006 GOK852006:GOL852006 GYG852006:GYH852006 HIC852006:HID852006 HRY852006:HRZ852006 IBU852006:IBV852006 ILQ852006:ILR852006 IVM852006:IVN852006 JFI852006:JFJ852006 JPE852006:JPF852006 JZA852006:JZB852006 KIW852006:KIX852006 KSS852006:KST852006 LCO852006:LCP852006 LMK852006:LML852006 LWG852006:LWH852006 MGC852006:MGD852006 MPY852006:MPZ852006 MZU852006:MZV852006 NJQ852006:NJR852006 NTM852006:NTN852006 ODI852006:ODJ852006 ONE852006:ONF852006 OXA852006:OXB852006 PGW852006:PGX852006 PQS852006:PQT852006 QAO852006:QAP852006 QKK852006:QKL852006 QUG852006:QUH852006 REC852006:RED852006 RNY852006:RNZ852006 RXU852006:RXV852006 SHQ852006:SHR852006 SRM852006:SRN852006 TBI852006:TBJ852006 TLE852006:TLF852006 TVA852006:TVB852006 UEW852006:UEX852006 UOS852006:UOT852006 UYO852006:UYP852006 VIK852006:VIL852006 VSG852006:VSH852006 WCC852006:WCD852006 WLY852006:WLZ852006 WVU852006:WVV852006 M917542:N917542 JI917542:JJ917542 TE917542:TF917542 ADA917542:ADB917542 AMW917542:AMX917542 AWS917542:AWT917542 BGO917542:BGP917542 BQK917542:BQL917542 CAG917542:CAH917542 CKC917542:CKD917542 CTY917542:CTZ917542 DDU917542:DDV917542 DNQ917542:DNR917542 DXM917542:DXN917542 EHI917542:EHJ917542 ERE917542:ERF917542 FBA917542:FBB917542 FKW917542:FKX917542 FUS917542:FUT917542 GEO917542:GEP917542 GOK917542:GOL917542 GYG917542:GYH917542 HIC917542:HID917542 HRY917542:HRZ917542 IBU917542:IBV917542 ILQ917542:ILR917542 IVM917542:IVN917542 JFI917542:JFJ917542 JPE917542:JPF917542 JZA917542:JZB917542 KIW917542:KIX917542 KSS917542:KST917542 LCO917542:LCP917542 LMK917542:LML917542 LWG917542:LWH917542 MGC917542:MGD917542 MPY917542:MPZ917542 MZU917542:MZV917542 NJQ917542:NJR917542 NTM917542:NTN917542 ODI917542:ODJ917542 ONE917542:ONF917542 OXA917542:OXB917542 PGW917542:PGX917542 PQS917542:PQT917542 QAO917542:QAP917542 QKK917542:QKL917542 QUG917542:QUH917542 REC917542:RED917542 RNY917542:RNZ917542 RXU917542:RXV917542 SHQ917542:SHR917542 SRM917542:SRN917542 TBI917542:TBJ917542 TLE917542:TLF917542 TVA917542:TVB917542 UEW917542:UEX917542 UOS917542:UOT917542 UYO917542:UYP917542 VIK917542:VIL917542 VSG917542:VSH917542 WCC917542:WCD917542 WLY917542:WLZ917542 WVU917542:WVV917542 M983078:N983078 JI983078:JJ983078 TE983078:TF983078 ADA983078:ADB983078 AMW983078:AMX983078 AWS983078:AWT983078 BGO983078:BGP983078 BQK983078:BQL983078 CAG983078:CAH983078 CKC983078:CKD983078 CTY983078:CTZ983078 DDU983078:DDV983078 DNQ983078:DNR983078 DXM983078:DXN983078 EHI983078:EHJ983078 ERE983078:ERF983078 FBA983078:FBB983078 FKW983078:FKX983078 FUS983078:FUT983078 GEO983078:GEP983078 GOK983078:GOL983078 GYG983078:GYH983078 HIC983078:HID983078 HRY983078:HRZ983078 IBU983078:IBV983078 ILQ983078:ILR983078 IVM983078:IVN983078 JFI983078:JFJ983078 JPE983078:JPF983078 JZA983078:JZB983078 KIW983078:KIX983078 KSS983078:KST983078 LCO983078:LCP983078 LMK983078:LML983078 LWG983078:LWH983078 MGC983078:MGD983078 MPY983078:MPZ983078 MZU983078:MZV983078 NJQ983078:NJR983078 NTM983078:NTN983078 ODI983078:ODJ983078 ONE983078:ONF983078 OXA983078:OXB983078 PGW983078:PGX983078 PQS983078:PQT983078 QAO983078:QAP983078 QKK983078:QKL983078 QUG983078:QUH983078 REC983078:RED983078 RNY983078:RNZ983078 RXU983078:RXV983078 SHQ983078:SHR983078 SRM983078:SRN983078 TBI983078:TBJ983078 TLE983078:TLF983078 TVA983078:TVB983078 UEW983078:UEX983078 UOS983078:UOT983078 UYO983078:UYP983078 VIK983078:VIL983078 VSG983078:VSH983078 WCC983078:WCD983078 WLY983078:WLZ983078 WVU983078:WVV983078" xr:uid="{476963D5-1578-409B-9670-0D39562A1A44}">
      <formula1>$B$78:$B$108</formula1>
    </dataValidation>
    <dataValidation type="list" allowBlank="1" showInputMessage="1" showErrorMessage="1" sqref="I34:L34 JE34:JH34 TA34:TD34 ACW34:ACZ34 AMS34:AMV34 AWO34:AWR34 BGK34:BGN34 BQG34:BQJ34 CAC34:CAF34 CJY34:CKB34 CTU34:CTX34 DDQ34:DDT34 DNM34:DNP34 DXI34:DXL34 EHE34:EHH34 ERA34:ERD34 FAW34:FAZ34 FKS34:FKV34 FUO34:FUR34 GEK34:GEN34 GOG34:GOJ34 GYC34:GYF34 HHY34:HIB34 HRU34:HRX34 IBQ34:IBT34 ILM34:ILP34 IVI34:IVL34 JFE34:JFH34 JPA34:JPD34 JYW34:JYZ34 KIS34:KIV34 KSO34:KSR34 LCK34:LCN34 LMG34:LMJ34 LWC34:LWF34 MFY34:MGB34 MPU34:MPX34 MZQ34:MZT34 NJM34:NJP34 NTI34:NTL34 ODE34:ODH34 ONA34:OND34 OWW34:OWZ34 PGS34:PGV34 PQO34:PQR34 QAK34:QAN34 QKG34:QKJ34 QUC34:QUF34 RDY34:REB34 RNU34:RNX34 RXQ34:RXT34 SHM34:SHP34 SRI34:SRL34 TBE34:TBH34 TLA34:TLD34 TUW34:TUZ34 UES34:UEV34 UOO34:UOR34 UYK34:UYN34 VIG34:VIJ34 VSC34:VSF34 WBY34:WCB34 WLU34:WLX34 WVQ34:WVT34 I65571:L65571 JE65571:JH65571 TA65571:TD65571 ACW65571:ACZ65571 AMS65571:AMV65571 AWO65571:AWR65571 BGK65571:BGN65571 BQG65571:BQJ65571 CAC65571:CAF65571 CJY65571:CKB65571 CTU65571:CTX65571 DDQ65571:DDT65571 DNM65571:DNP65571 DXI65571:DXL65571 EHE65571:EHH65571 ERA65571:ERD65571 FAW65571:FAZ65571 FKS65571:FKV65571 FUO65571:FUR65571 GEK65571:GEN65571 GOG65571:GOJ65571 GYC65571:GYF65571 HHY65571:HIB65571 HRU65571:HRX65571 IBQ65571:IBT65571 ILM65571:ILP65571 IVI65571:IVL65571 JFE65571:JFH65571 JPA65571:JPD65571 JYW65571:JYZ65571 KIS65571:KIV65571 KSO65571:KSR65571 LCK65571:LCN65571 LMG65571:LMJ65571 LWC65571:LWF65571 MFY65571:MGB65571 MPU65571:MPX65571 MZQ65571:MZT65571 NJM65571:NJP65571 NTI65571:NTL65571 ODE65571:ODH65571 ONA65571:OND65571 OWW65571:OWZ65571 PGS65571:PGV65571 PQO65571:PQR65571 QAK65571:QAN65571 QKG65571:QKJ65571 QUC65571:QUF65571 RDY65571:REB65571 RNU65571:RNX65571 RXQ65571:RXT65571 SHM65571:SHP65571 SRI65571:SRL65571 TBE65571:TBH65571 TLA65571:TLD65571 TUW65571:TUZ65571 UES65571:UEV65571 UOO65571:UOR65571 UYK65571:UYN65571 VIG65571:VIJ65571 VSC65571:VSF65571 WBY65571:WCB65571 WLU65571:WLX65571 WVQ65571:WVT65571 I131107:L131107 JE131107:JH131107 TA131107:TD131107 ACW131107:ACZ131107 AMS131107:AMV131107 AWO131107:AWR131107 BGK131107:BGN131107 BQG131107:BQJ131107 CAC131107:CAF131107 CJY131107:CKB131107 CTU131107:CTX131107 DDQ131107:DDT131107 DNM131107:DNP131107 DXI131107:DXL131107 EHE131107:EHH131107 ERA131107:ERD131107 FAW131107:FAZ131107 FKS131107:FKV131107 FUO131107:FUR131107 GEK131107:GEN131107 GOG131107:GOJ131107 GYC131107:GYF131107 HHY131107:HIB131107 HRU131107:HRX131107 IBQ131107:IBT131107 ILM131107:ILP131107 IVI131107:IVL131107 JFE131107:JFH131107 JPA131107:JPD131107 JYW131107:JYZ131107 KIS131107:KIV131107 KSO131107:KSR131107 LCK131107:LCN131107 LMG131107:LMJ131107 LWC131107:LWF131107 MFY131107:MGB131107 MPU131107:MPX131107 MZQ131107:MZT131107 NJM131107:NJP131107 NTI131107:NTL131107 ODE131107:ODH131107 ONA131107:OND131107 OWW131107:OWZ131107 PGS131107:PGV131107 PQO131107:PQR131107 QAK131107:QAN131107 QKG131107:QKJ131107 QUC131107:QUF131107 RDY131107:REB131107 RNU131107:RNX131107 RXQ131107:RXT131107 SHM131107:SHP131107 SRI131107:SRL131107 TBE131107:TBH131107 TLA131107:TLD131107 TUW131107:TUZ131107 UES131107:UEV131107 UOO131107:UOR131107 UYK131107:UYN131107 VIG131107:VIJ131107 VSC131107:VSF131107 WBY131107:WCB131107 WLU131107:WLX131107 WVQ131107:WVT131107 I196643:L196643 JE196643:JH196643 TA196643:TD196643 ACW196643:ACZ196643 AMS196643:AMV196643 AWO196643:AWR196643 BGK196643:BGN196643 BQG196643:BQJ196643 CAC196643:CAF196643 CJY196643:CKB196643 CTU196643:CTX196643 DDQ196643:DDT196643 DNM196643:DNP196643 DXI196643:DXL196643 EHE196643:EHH196643 ERA196643:ERD196643 FAW196643:FAZ196643 FKS196643:FKV196643 FUO196643:FUR196643 GEK196643:GEN196643 GOG196643:GOJ196643 GYC196643:GYF196643 HHY196643:HIB196643 HRU196643:HRX196643 IBQ196643:IBT196643 ILM196643:ILP196643 IVI196643:IVL196643 JFE196643:JFH196643 JPA196643:JPD196643 JYW196643:JYZ196643 KIS196643:KIV196643 KSO196643:KSR196643 LCK196643:LCN196643 LMG196643:LMJ196643 LWC196643:LWF196643 MFY196643:MGB196643 MPU196643:MPX196643 MZQ196643:MZT196643 NJM196643:NJP196643 NTI196643:NTL196643 ODE196643:ODH196643 ONA196643:OND196643 OWW196643:OWZ196643 PGS196643:PGV196643 PQO196643:PQR196643 QAK196643:QAN196643 QKG196643:QKJ196643 QUC196643:QUF196643 RDY196643:REB196643 RNU196643:RNX196643 RXQ196643:RXT196643 SHM196643:SHP196643 SRI196643:SRL196643 TBE196643:TBH196643 TLA196643:TLD196643 TUW196643:TUZ196643 UES196643:UEV196643 UOO196643:UOR196643 UYK196643:UYN196643 VIG196643:VIJ196643 VSC196643:VSF196643 WBY196643:WCB196643 WLU196643:WLX196643 WVQ196643:WVT196643 I262179:L262179 JE262179:JH262179 TA262179:TD262179 ACW262179:ACZ262179 AMS262179:AMV262179 AWO262179:AWR262179 BGK262179:BGN262179 BQG262179:BQJ262179 CAC262179:CAF262179 CJY262179:CKB262179 CTU262179:CTX262179 DDQ262179:DDT262179 DNM262179:DNP262179 DXI262179:DXL262179 EHE262179:EHH262179 ERA262179:ERD262179 FAW262179:FAZ262179 FKS262179:FKV262179 FUO262179:FUR262179 GEK262179:GEN262179 GOG262179:GOJ262179 GYC262179:GYF262179 HHY262179:HIB262179 HRU262179:HRX262179 IBQ262179:IBT262179 ILM262179:ILP262179 IVI262179:IVL262179 JFE262179:JFH262179 JPA262179:JPD262179 JYW262179:JYZ262179 KIS262179:KIV262179 KSO262179:KSR262179 LCK262179:LCN262179 LMG262179:LMJ262179 LWC262179:LWF262179 MFY262179:MGB262179 MPU262179:MPX262179 MZQ262179:MZT262179 NJM262179:NJP262179 NTI262179:NTL262179 ODE262179:ODH262179 ONA262179:OND262179 OWW262179:OWZ262179 PGS262179:PGV262179 PQO262179:PQR262179 QAK262179:QAN262179 QKG262179:QKJ262179 QUC262179:QUF262179 RDY262179:REB262179 RNU262179:RNX262179 RXQ262179:RXT262179 SHM262179:SHP262179 SRI262179:SRL262179 TBE262179:TBH262179 TLA262179:TLD262179 TUW262179:TUZ262179 UES262179:UEV262179 UOO262179:UOR262179 UYK262179:UYN262179 VIG262179:VIJ262179 VSC262179:VSF262179 WBY262179:WCB262179 WLU262179:WLX262179 WVQ262179:WVT262179 I327715:L327715 JE327715:JH327715 TA327715:TD327715 ACW327715:ACZ327715 AMS327715:AMV327715 AWO327715:AWR327715 BGK327715:BGN327715 BQG327715:BQJ327715 CAC327715:CAF327715 CJY327715:CKB327715 CTU327715:CTX327715 DDQ327715:DDT327715 DNM327715:DNP327715 DXI327715:DXL327715 EHE327715:EHH327715 ERA327715:ERD327715 FAW327715:FAZ327715 FKS327715:FKV327715 FUO327715:FUR327715 GEK327715:GEN327715 GOG327715:GOJ327715 GYC327715:GYF327715 HHY327715:HIB327715 HRU327715:HRX327715 IBQ327715:IBT327715 ILM327715:ILP327715 IVI327715:IVL327715 JFE327715:JFH327715 JPA327715:JPD327715 JYW327715:JYZ327715 KIS327715:KIV327715 KSO327715:KSR327715 LCK327715:LCN327715 LMG327715:LMJ327715 LWC327715:LWF327715 MFY327715:MGB327715 MPU327715:MPX327715 MZQ327715:MZT327715 NJM327715:NJP327715 NTI327715:NTL327715 ODE327715:ODH327715 ONA327715:OND327715 OWW327715:OWZ327715 PGS327715:PGV327715 PQO327715:PQR327715 QAK327715:QAN327715 QKG327715:QKJ327715 QUC327715:QUF327715 RDY327715:REB327715 RNU327715:RNX327715 RXQ327715:RXT327715 SHM327715:SHP327715 SRI327715:SRL327715 TBE327715:TBH327715 TLA327715:TLD327715 TUW327715:TUZ327715 UES327715:UEV327715 UOO327715:UOR327715 UYK327715:UYN327715 VIG327715:VIJ327715 VSC327715:VSF327715 WBY327715:WCB327715 WLU327715:WLX327715 WVQ327715:WVT327715 I393251:L393251 JE393251:JH393251 TA393251:TD393251 ACW393251:ACZ393251 AMS393251:AMV393251 AWO393251:AWR393251 BGK393251:BGN393251 BQG393251:BQJ393251 CAC393251:CAF393251 CJY393251:CKB393251 CTU393251:CTX393251 DDQ393251:DDT393251 DNM393251:DNP393251 DXI393251:DXL393251 EHE393251:EHH393251 ERA393251:ERD393251 FAW393251:FAZ393251 FKS393251:FKV393251 FUO393251:FUR393251 GEK393251:GEN393251 GOG393251:GOJ393251 GYC393251:GYF393251 HHY393251:HIB393251 HRU393251:HRX393251 IBQ393251:IBT393251 ILM393251:ILP393251 IVI393251:IVL393251 JFE393251:JFH393251 JPA393251:JPD393251 JYW393251:JYZ393251 KIS393251:KIV393251 KSO393251:KSR393251 LCK393251:LCN393251 LMG393251:LMJ393251 LWC393251:LWF393251 MFY393251:MGB393251 MPU393251:MPX393251 MZQ393251:MZT393251 NJM393251:NJP393251 NTI393251:NTL393251 ODE393251:ODH393251 ONA393251:OND393251 OWW393251:OWZ393251 PGS393251:PGV393251 PQO393251:PQR393251 QAK393251:QAN393251 QKG393251:QKJ393251 QUC393251:QUF393251 RDY393251:REB393251 RNU393251:RNX393251 RXQ393251:RXT393251 SHM393251:SHP393251 SRI393251:SRL393251 TBE393251:TBH393251 TLA393251:TLD393251 TUW393251:TUZ393251 UES393251:UEV393251 UOO393251:UOR393251 UYK393251:UYN393251 VIG393251:VIJ393251 VSC393251:VSF393251 WBY393251:WCB393251 WLU393251:WLX393251 WVQ393251:WVT393251 I458787:L458787 JE458787:JH458787 TA458787:TD458787 ACW458787:ACZ458787 AMS458787:AMV458787 AWO458787:AWR458787 BGK458787:BGN458787 BQG458787:BQJ458787 CAC458787:CAF458787 CJY458787:CKB458787 CTU458787:CTX458787 DDQ458787:DDT458787 DNM458787:DNP458787 DXI458787:DXL458787 EHE458787:EHH458787 ERA458787:ERD458787 FAW458787:FAZ458787 FKS458787:FKV458787 FUO458787:FUR458787 GEK458787:GEN458787 GOG458787:GOJ458787 GYC458787:GYF458787 HHY458787:HIB458787 HRU458787:HRX458787 IBQ458787:IBT458787 ILM458787:ILP458787 IVI458787:IVL458787 JFE458787:JFH458787 JPA458787:JPD458787 JYW458787:JYZ458787 KIS458787:KIV458787 KSO458787:KSR458787 LCK458787:LCN458787 LMG458787:LMJ458787 LWC458787:LWF458787 MFY458787:MGB458787 MPU458787:MPX458787 MZQ458787:MZT458787 NJM458787:NJP458787 NTI458787:NTL458787 ODE458787:ODH458787 ONA458787:OND458787 OWW458787:OWZ458787 PGS458787:PGV458787 PQO458787:PQR458787 QAK458787:QAN458787 QKG458787:QKJ458787 QUC458787:QUF458787 RDY458787:REB458787 RNU458787:RNX458787 RXQ458787:RXT458787 SHM458787:SHP458787 SRI458787:SRL458787 TBE458787:TBH458787 TLA458787:TLD458787 TUW458787:TUZ458787 UES458787:UEV458787 UOO458787:UOR458787 UYK458787:UYN458787 VIG458787:VIJ458787 VSC458787:VSF458787 WBY458787:WCB458787 WLU458787:WLX458787 WVQ458787:WVT458787 I524323:L524323 JE524323:JH524323 TA524323:TD524323 ACW524323:ACZ524323 AMS524323:AMV524323 AWO524323:AWR524323 BGK524323:BGN524323 BQG524323:BQJ524323 CAC524323:CAF524323 CJY524323:CKB524323 CTU524323:CTX524323 DDQ524323:DDT524323 DNM524323:DNP524323 DXI524323:DXL524323 EHE524323:EHH524323 ERA524323:ERD524323 FAW524323:FAZ524323 FKS524323:FKV524323 FUO524323:FUR524323 GEK524323:GEN524323 GOG524323:GOJ524323 GYC524323:GYF524323 HHY524323:HIB524323 HRU524323:HRX524323 IBQ524323:IBT524323 ILM524323:ILP524323 IVI524323:IVL524323 JFE524323:JFH524323 JPA524323:JPD524323 JYW524323:JYZ524323 KIS524323:KIV524323 KSO524323:KSR524323 LCK524323:LCN524323 LMG524323:LMJ524323 LWC524323:LWF524323 MFY524323:MGB524323 MPU524323:MPX524323 MZQ524323:MZT524323 NJM524323:NJP524323 NTI524323:NTL524323 ODE524323:ODH524323 ONA524323:OND524323 OWW524323:OWZ524323 PGS524323:PGV524323 PQO524323:PQR524323 QAK524323:QAN524323 QKG524323:QKJ524323 QUC524323:QUF524323 RDY524323:REB524323 RNU524323:RNX524323 RXQ524323:RXT524323 SHM524323:SHP524323 SRI524323:SRL524323 TBE524323:TBH524323 TLA524323:TLD524323 TUW524323:TUZ524323 UES524323:UEV524323 UOO524323:UOR524323 UYK524323:UYN524323 VIG524323:VIJ524323 VSC524323:VSF524323 WBY524323:WCB524323 WLU524323:WLX524323 WVQ524323:WVT524323 I589859:L589859 JE589859:JH589859 TA589859:TD589859 ACW589859:ACZ589859 AMS589859:AMV589859 AWO589859:AWR589859 BGK589859:BGN589859 BQG589859:BQJ589859 CAC589859:CAF589859 CJY589859:CKB589859 CTU589859:CTX589859 DDQ589859:DDT589859 DNM589859:DNP589859 DXI589859:DXL589859 EHE589859:EHH589859 ERA589859:ERD589859 FAW589859:FAZ589859 FKS589859:FKV589859 FUO589859:FUR589859 GEK589859:GEN589859 GOG589859:GOJ589859 GYC589859:GYF589859 HHY589859:HIB589859 HRU589859:HRX589859 IBQ589859:IBT589859 ILM589859:ILP589859 IVI589859:IVL589859 JFE589859:JFH589859 JPA589859:JPD589859 JYW589859:JYZ589859 KIS589859:KIV589859 KSO589859:KSR589859 LCK589859:LCN589859 LMG589859:LMJ589859 LWC589859:LWF589859 MFY589859:MGB589859 MPU589859:MPX589859 MZQ589859:MZT589859 NJM589859:NJP589859 NTI589859:NTL589859 ODE589859:ODH589859 ONA589859:OND589859 OWW589859:OWZ589859 PGS589859:PGV589859 PQO589859:PQR589859 QAK589859:QAN589859 QKG589859:QKJ589859 QUC589859:QUF589859 RDY589859:REB589859 RNU589859:RNX589859 RXQ589859:RXT589859 SHM589859:SHP589859 SRI589859:SRL589859 TBE589859:TBH589859 TLA589859:TLD589859 TUW589859:TUZ589859 UES589859:UEV589859 UOO589859:UOR589859 UYK589859:UYN589859 VIG589859:VIJ589859 VSC589859:VSF589859 WBY589859:WCB589859 WLU589859:WLX589859 WVQ589859:WVT589859 I655395:L655395 JE655395:JH655395 TA655395:TD655395 ACW655395:ACZ655395 AMS655395:AMV655395 AWO655395:AWR655395 BGK655395:BGN655395 BQG655395:BQJ655395 CAC655395:CAF655395 CJY655395:CKB655395 CTU655395:CTX655395 DDQ655395:DDT655395 DNM655395:DNP655395 DXI655395:DXL655395 EHE655395:EHH655395 ERA655395:ERD655395 FAW655395:FAZ655395 FKS655395:FKV655395 FUO655395:FUR655395 GEK655395:GEN655395 GOG655395:GOJ655395 GYC655395:GYF655395 HHY655395:HIB655395 HRU655395:HRX655395 IBQ655395:IBT655395 ILM655395:ILP655395 IVI655395:IVL655395 JFE655395:JFH655395 JPA655395:JPD655395 JYW655395:JYZ655395 KIS655395:KIV655395 KSO655395:KSR655395 LCK655395:LCN655395 LMG655395:LMJ655395 LWC655395:LWF655395 MFY655395:MGB655395 MPU655395:MPX655395 MZQ655395:MZT655395 NJM655395:NJP655395 NTI655395:NTL655395 ODE655395:ODH655395 ONA655395:OND655395 OWW655395:OWZ655395 PGS655395:PGV655395 PQO655395:PQR655395 QAK655395:QAN655395 QKG655395:QKJ655395 QUC655395:QUF655395 RDY655395:REB655395 RNU655395:RNX655395 RXQ655395:RXT655395 SHM655395:SHP655395 SRI655395:SRL655395 TBE655395:TBH655395 TLA655395:TLD655395 TUW655395:TUZ655395 UES655395:UEV655395 UOO655395:UOR655395 UYK655395:UYN655395 VIG655395:VIJ655395 VSC655395:VSF655395 WBY655395:WCB655395 WLU655395:WLX655395 WVQ655395:WVT655395 I720931:L720931 JE720931:JH720931 TA720931:TD720931 ACW720931:ACZ720931 AMS720931:AMV720931 AWO720931:AWR720931 BGK720931:BGN720931 BQG720931:BQJ720931 CAC720931:CAF720931 CJY720931:CKB720931 CTU720931:CTX720931 DDQ720931:DDT720931 DNM720931:DNP720931 DXI720931:DXL720931 EHE720931:EHH720931 ERA720931:ERD720931 FAW720931:FAZ720931 FKS720931:FKV720931 FUO720931:FUR720931 GEK720931:GEN720931 GOG720931:GOJ720931 GYC720931:GYF720931 HHY720931:HIB720931 HRU720931:HRX720931 IBQ720931:IBT720931 ILM720931:ILP720931 IVI720931:IVL720931 JFE720931:JFH720931 JPA720931:JPD720931 JYW720931:JYZ720931 KIS720931:KIV720931 KSO720931:KSR720931 LCK720931:LCN720931 LMG720931:LMJ720931 LWC720931:LWF720931 MFY720931:MGB720931 MPU720931:MPX720931 MZQ720931:MZT720931 NJM720931:NJP720931 NTI720931:NTL720931 ODE720931:ODH720931 ONA720931:OND720931 OWW720931:OWZ720931 PGS720931:PGV720931 PQO720931:PQR720931 QAK720931:QAN720931 QKG720931:QKJ720931 QUC720931:QUF720931 RDY720931:REB720931 RNU720931:RNX720931 RXQ720931:RXT720931 SHM720931:SHP720931 SRI720931:SRL720931 TBE720931:TBH720931 TLA720931:TLD720931 TUW720931:TUZ720931 UES720931:UEV720931 UOO720931:UOR720931 UYK720931:UYN720931 VIG720931:VIJ720931 VSC720931:VSF720931 WBY720931:WCB720931 WLU720931:WLX720931 WVQ720931:WVT720931 I786467:L786467 JE786467:JH786467 TA786467:TD786467 ACW786467:ACZ786467 AMS786467:AMV786467 AWO786467:AWR786467 BGK786467:BGN786467 BQG786467:BQJ786467 CAC786467:CAF786467 CJY786467:CKB786467 CTU786467:CTX786467 DDQ786467:DDT786467 DNM786467:DNP786467 DXI786467:DXL786467 EHE786467:EHH786467 ERA786467:ERD786467 FAW786467:FAZ786467 FKS786467:FKV786467 FUO786467:FUR786467 GEK786467:GEN786467 GOG786467:GOJ786467 GYC786467:GYF786467 HHY786467:HIB786467 HRU786467:HRX786467 IBQ786467:IBT786467 ILM786467:ILP786467 IVI786467:IVL786467 JFE786467:JFH786467 JPA786467:JPD786467 JYW786467:JYZ786467 KIS786467:KIV786467 KSO786467:KSR786467 LCK786467:LCN786467 LMG786467:LMJ786467 LWC786467:LWF786467 MFY786467:MGB786467 MPU786467:MPX786467 MZQ786467:MZT786467 NJM786467:NJP786467 NTI786467:NTL786467 ODE786467:ODH786467 ONA786467:OND786467 OWW786467:OWZ786467 PGS786467:PGV786467 PQO786467:PQR786467 QAK786467:QAN786467 QKG786467:QKJ786467 QUC786467:QUF786467 RDY786467:REB786467 RNU786467:RNX786467 RXQ786467:RXT786467 SHM786467:SHP786467 SRI786467:SRL786467 TBE786467:TBH786467 TLA786467:TLD786467 TUW786467:TUZ786467 UES786467:UEV786467 UOO786467:UOR786467 UYK786467:UYN786467 VIG786467:VIJ786467 VSC786467:VSF786467 WBY786467:WCB786467 WLU786467:WLX786467 WVQ786467:WVT786467 I852003:L852003 JE852003:JH852003 TA852003:TD852003 ACW852003:ACZ852003 AMS852003:AMV852003 AWO852003:AWR852003 BGK852003:BGN852003 BQG852003:BQJ852003 CAC852003:CAF852003 CJY852003:CKB852003 CTU852003:CTX852003 DDQ852003:DDT852003 DNM852003:DNP852003 DXI852003:DXL852003 EHE852003:EHH852003 ERA852003:ERD852003 FAW852003:FAZ852003 FKS852003:FKV852003 FUO852003:FUR852003 GEK852003:GEN852003 GOG852003:GOJ852003 GYC852003:GYF852003 HHY852003:HIB852003 HRU852003:HRX852003 IBQ852003:IBT852003 ILM852003:ILP852003 IVI852003:IVL852003 JFE852003:JFH852003 JPA852003:JPD852003 JYW852003:JYZ852003 KIS852003:KIV852003 KSO852003:KSR852003 LCK852003:LCN852003 LMG852003:LMJ852003 LWC852003:LWF852003 MFY852003:MGB852003 MPU852003:MPX852003 MZQ852003:MZT852003 NJM852003:NJP852003 NTI852003:NTL852003 ODE852003:ODH852003 ONA852003:OND852003 OWW852003:OWZ852003 PGS852003:PGV852003 PQO852003:PQR852003 QAK852003:QAN852003 QKG852003:QKJ852003 QUC852003:QUF852003 RDY852003:REB852003 RNU852003:RNX852003 RXQ852003:RXT852003 SHM852003:SHP852003 SRI852003:SRL852003 TBE852003:TBH852003 TLA852003:TLD852003 TUW852003:TUZ852003 UES852003:UEV852003 UOO852003:UOR852003 UYK852003:UYN852003 VIG852003:VIJ852003 VSC852003:VSF852003 WBY852003:WCB852003 WLU852003:WLX852003 WVQ852003:WVT852003 I917539:L917539 JE917539:JH917539 TA917539:TD917539 ACW917539:ACZ917539 AMS917539:AMV917539 AWO917539:AWR917539 BGK917539:BGN917539 BQG917539:BQJ917539 CAC917539:CAF917539 CJY917539:CKB917539 CTU917539:CTX917539 DDQ917539:DDT917539 DNM917539:DNP917539 DXI917539:DXL917539 EHE917539:EHH917539 ERA917539:ERD917539 FAW917539:FAZ917539 FKS917539:FKV917539 FUO917539:FUR917539 GEK917539:GEN917539 GOG917539:GOJ917539 GYC917539:GYF917539 HHY917539:HIB917539 HRU917539:HRX917539 IBQ917539:IBT917539 ILM917539:ILP917539 IVI917539:IVL917539 JFE917539:JFH917539 JPA917539:JPD917539 JYW917539:JYZ917539 KIS917539:KIV917539 KSO917539:KSR917539 LCK917539:LCN917539 LMG917539:LMJ917539 LWC917539:LWF917539 MFY917539:MGB917539 MPU917539:MPX917539 MZQ917539:MZT917539 NJM917539:NJP917539 NTI917539:NTL917539 ODE917539:ODH917539 ONA917539:OND917539 OWW917539:OWZ917539 PGS917539:PGV917539 PQO917539:PQR917539 QAK917539:QAN917539 QKG917539:QKJ917539 QUC917539:QUF917539 RDY917539:REB917539 RNU917539:RNX917539 RXQ917539:RXT917539 SHM917539:SHP917539 SRI917539:SRL917539 TBE917539:TBH917539 TLA917539:TLD917539 TUW917539:TUZ917539 UES917539:UEV917539 UOO917539:UOR917539 UYK917539:UYN917539 VIG917539:VIJ917539 VSC917539:VSF917539 WBY917539:WCB917539 WLU917539:WLX917539 WVQ917539:WVT917539 I983075:L983075 JE983075:JH983075 TA983075:TD983075 ACW983075:ACZ983075 AMS983075:AMV983075 AWO983075:AWR983075 BGK983075:BGN983075 BQG983075:BQJ983075 CAC983075:CAF983075 CJY983075:CKB983075 CTU983075:CTX983075 DDQ983075:DDT983075 DNM983075:DNP983075 DXI983075:DXL983075 EHE983075:EHH983075 ERA983075:ERD983075 FAW983075:FAZ983075 FKS983075:FKV983075 FUO983075:FUR983075 GEK983075:GEN983075 GOG983075:GOJ983075 GYC983075:GYF983075 HHY983075:HIB983075 HRU983075:HRX983075 IBQ983075:IBT983075 ILM983075:ILP983075 IVI983075:IVL983075 JFE983075:JFH983075 JPA983075:JPD983075 JYW983075:JYZ983075 KIS983075:KIV983075 KSO983075:KSR983075 LCK983075:LCN983075 LMG983075:LMJ983075 LWC983075:LWF983075 MFY983075:MGB983075 MPU983075:MPX983075 MZQ983075:MZT983075 NJM983075:NJP983075 NTI983075:NTL983075 ODE983075:ODH983075 ONA983075:OND983075 OWW983075:OWZ983075 PGS983075:PGV983075 PQO983075:PQR983075 QAK983075:QAN983075 QKG983075:QKJ983075 QUC983075:QUF983075 RDY983075:REB983075 RNU983075:RNX983075 RXQ983075:RXT983075 SHM983075:SHP983075 SRI983075:SRL983075 TBE983075:TBH983075 TLA983075:TLD983075 TUW983075:TUZ983075 UES983075:UEV983075 UOO983075:UOR983075 UYK983075:UYN983075 VIG983075:VIJ983075 VSC983075:VSF983075 WBY983075:WCB983075 WLU983075:WLX983075 WVQ983075:WVT983075" xr:uid="{358577C0-DF7A-4171-836B-763CE9F8155D}">
      <formula1>$B$75:$B$76</formula1>
    </dataValidation>
    <dataValidation type="list" allowBlank="1" showInputMessage="1" showErrorMessage="1" sqref="WVQ983074:WVV983074 JE26:JJ26 WLU983074:WLZ983074 WBY983074:WCD983074 VSC983074:VSH983074 VIG983074:VIL983074 UYK983074:UYP983074 UOO983074:UOT983074 UES983074:UEX983074 TUW983074:TVB983074 TLA983074:TLF983074 TBE983074:TBJ983074 SRI983074:SRN983074 SHM983074:SHR983074 RXQ983074:RXV983074 RNU983074:RNZ983074 RDY983074:RED983074 QUC983074:QUH983074 QKG983074:QKL983074 QAK983074:QAP983074 PQO983074:PQT983074 PGS983074:PGX983074 OWW983074:OXB983074 ONA983074:ONF983074 ODE983074:ODJ983074 NTI983074:NTN983074 NJM983074:NJR983074 MZQ983074:MZV983074 MPU983074:MPZ983074 MFY983074:MGD983074 LWC983074:LWH983074 LMG983074:LML983074 LCK983074:LCP983074 KSO983074:KST983074 KIS983074:KIX983074 JYW983074:JZB983074 JPA983074:JPF983074 JFE983074:JFJ983074 IVI983074:IVN983074 ILM983074:ILR983074 IBQ983074:IBV983074 HRU983074:HRZ983074 HHY983074:HID983074 GYC983074:GYH983074 GOG983074:GOL983074 GEK983074:GEP983074 FUO983074:FUT983074 FKS983074:FKX983074 FAW983074:FBB983074 ERA983074:ERF983074 EHE983074:EHJ983074 DXI983074:DXN983074 DNM983074:DNR983074 DDQ983074:DDV983074 CTU983074:CTZ983074 CJY983074:CKD983074 CAC983074:CAH983074 BQG983074:BQL983074 BGK983074:BGP983074 AWO983074:AWT983074 AMS983074:AMX983074 ACW983074:ADB983074 TA983074:TF983074 JE983074:JJ983074 I983074:N983074 WVQ917538:WVV917538 WLU917538:WLZ917538 WBY917538:WCD917538 VSC917538:VSH917538 VIG917538:VIL917538 UYK917538:UYP917538 UOO917538:UOT917538 UES917538:UEX917538 TUW917538:TVB917538 TLA917538:TLF917538 TBE917538:TBJ917538 SRI917538:SRN917538 SHM917538:SHR917538 RXQ917538:RXV917538 RNU917538:RNZ917538 RDY917538:RED917538 QUC917538:QUH917538 QKG917538:QKL917538 QAK917538:QAP917538 PQO917538:PQT917538 PGS917538:PGX917538 OWW917538:OXB917538 ONA917538:ONF917538 ODE917538:ODJ917538 NTI917538:NTN917538 NJM917538:NJR917538 MZQ917538:MZV917538 MPU917538:MPZ917538 MFY917538:MGD917538 LWC917538:LWH917538 LMG917538:LML917538 LCK917538:LCP917538 KSO917538:KST917538 KIS917538:KIX917538 JYW917538:JZB917538 JPA917538:JPF917538 JFE917538:JFJ917538 IVI917538:IVN917538 ILM917538:ILR917538 IBQ917538:IBV917538 HRU917538:HRZ917538 HHY917538:HID917538 GYC917538:GYH917538 GOG917538:GOL917538 GEK917538:GEP917538 FUO917538:FUT917538 FKS917538:FKX917538 FAW917538:FBB917538 ERA917538:ERF917538 EHE917538:EHJ917538 DXI917538:DXN917538 DNM917538:DNR917538 DDQ917538:DDV917538 CTU917538:CTZ917538 CJY917538:CKD917538 CAC917538:CAH917538 BQG917538:BQL917538 BGK917538:BGP917538 AWO917538:AWT917538 AMS917538:AMX917538 ACW917538:ADB917538 TA917538:TF917538 JE917538:JJ917538 I917538:N917538 WVQ852002:WVV852002 WLU852002:WLZ852002 WBY852002:WCD852002 VSC852002:VSH852002 VIG852002:VIL852002 UYK852002:UYP852002 UOO852002:UOT852002 UES852002:UEX852002 TUW852002:TVB852002 TLA852002:TLF852002 TBE852002:TBJ852002 SRI852002:SRN852002 SHM852002:SHR852002 RXQ852002:RXV852002 RNU852002:RNZ852002 RDY852002:RED852002 QUC852002:QUH852002 QKG852002:QKL852002 QAK852002:QAP852002 PQO852002:PQT852002 PGS852002:PGX852002 OWW852002:OXB852002 ONA852002:ONF852002 ODE852002:ODJ852002 NTI852002:NTN852002 NJM852002:NJR852002 MZQ852002:MZV852002 MPU852002:MPZ852002 MFY852002:MGD852002 LWC852002:LWH852002 LMG852002:LML852002 LCK852002:LCP852002 KSO852002:KST852002 KIS852002:KIX852002 JYW852002:JZB852002 JPA852002:JPF852002 JFE852002:JFJ852002 IVI852002:IVN852002 ILM852002:ILR852002 IBQ852002:IBV852002 HRU852002:HRZ852002 HHY852002:HID852002 GYC852002:GYH852002 GOG852002:GOL852002 GEK852002:GEP852002 FUO852002:FUT852002 FKS852002:FKX852002 FAW852002:FBB852002 ERA852002:ERF852002 EHE852002:EHJ852002 DXI852002:DXN852002 DNM852002:DNR852002 DDQ852002:DDV852002 CTU852002:CTZ852002 CJY852002:CKD852002 CAC852002:CAH852002 BQG852002:BQL852002 BGK852002:BGP852002 AWO852002:AWT852002 AMS852002:AMX852002 ACW852002:ADB852002 TA852002:TF852002 JE852002:JJ852002 I852002:N852002 WVQ786466:WVV786466 WLU786466:WLZ786466 WBY786466:WCD786466 VSC786466:VSH786466 VIG786466:VIL786466 UYK786466:UYP786466 UOO786466:UOT786466 UES786466:UEX786466 TUW786466:TVB786466 TLA786466:TLF786466 TBE786466:TBJ786466 SRI786466:SRN786466 SHM786466:SHR786466 RXQ786466:RXV786466 RNU786466:RNZ786466 RDY786466:RED786466 QUC786466:QUH786466 QKG786466:QKL786466 QAK786466:QAP786466 PQO786466:PQT786466 PGS786466:PGX786466 OWW786466:OXB786466 ONA786466:ONF786466 ODE786466:ODJ786466 NTI786466:NTN786466 NJM786466:NJR786466 MZQ786466:MZV786466 MPU786466:MPZ786466 MFY786466:MGD786466 LWC786466:LWH786466 LMG786466:LML786466 LCK786466:LCP786466 KSO786466:KST786466 KIS786466:KIX786466 JYW786466:JZB786466 JPA786466:JPF786466 JFE786466:JFJ786466 IVI786466:IVN786466 ILM786466:ILR786466 IBQ786466:IBV786466 HRU786466:HRZ786466 HHY786466:HID786466 GYC786466:GYH786466 GOG786466:GOL786466 GEK786466:GEP786466 FUO786466:FUT786466 FKS786466:FKX786466 FAW786466:FBB786466 ERA786466:ERF786466 EHE786466:EHJ786466 DXI786466:DXN786466 DNM786466:DNR786466 DDQ786466:DDV786466 CTU786466:CTZ786466 CJY786466:CKD786466 CAC786466:CAH786466 BQG786466:BQL786466 BGK786466:BGP786466 AWO786466:AWT786466 AMS786466:AMX786466 ACW786466:ADB786466 TA786466:TF786466 JE786466:JJ786466 I786466:N786466 WVQ720930:WVV720930 WLU720930:WLZ720930 WBY720930:WCD720930 VSC720930:VSH720930 VIG720930:VIL720930 UYK720930:UYP720930 UOO720930:UOT720930 UES720930:UEX720930 TUW720930:TVB720930 TLA720930:TLF720930 TBE720930:TBJ720930 SRI720930:SRN720930 SHM720930:SHR720930 RXQ720930:RXV720930 RNU720930:RNZ720930 RDY720930:RED720930 QUC720930:QUH720930 QKG720930:QKL720930 QAK720930:QAP720930 PQO720930:PQT720930 PGS720930:PGX720930 OWW720930:OXB720930 ONA720930:ONF720930 ODE720930:ODJ720930 NTI720930:NTN720930 NJM720930:NJR720930 MZQ720930:MZV720930 MPU720930:MPZ720930 MFY720930:MGD720930 LWC720930:LWH720930 LMG720930:LML720930 LCK720930:LCP720930 KSO720930:KST720930 KIS720930:KIX720930 JYW720930:JZB720930 JPA720930:JPF720930 JFE720930:JFJ720930 IVI720930:IVN720930 ILM720930:ILR720930 IBQ720930:IBV720930 HRU720930:HRZ720930 HHY720930:HID720930 GYC720930:GYH720930 GOG720930:GOL720930 GEK720930:GEP720930 FUO720930:FUT720930 FKS720930:FKX720930 FAW720930:FBB720930 ERA720930:ERF720930 EHE720930:EHJ720930 DXI720930:DXN720930 DNM720930:DNR720930 DDQ720930:DDV720930 CTU720930:CTZ720930 CJY720930:CKD720930 CAC720930:CAH720930 BQG720930:BQL720930 BGK720930:BGP720930 AWO720930:AWT720930 AMS720930:AMX720930 ACW720930:ADB720930 TA720930:TF720930 JE720930:JJ720930 I720930:N720930 WVQ655394:WVV655394 WLU655394:WLZ655394 WBY655394:WCD655394 VSC655394:VSH655394 VIG655394:VIL655394 UYK655394:UYP655394 UOO655394:UOT655394 UES655394:UEX655394 TUW655394:TVB655394 TLA655394:TLF655394 TBE655394:TBJ655394 SRI655394:SRN655394 SHM655394:SHR655394 RXQ655394:RXV655394 RNU655394:RNZ655394 RDY655394:RED655394 QUC655394:QUH655394 QKG655394:QKL655394 QAK655394:QAP655394 PQO655394:PQT655394 PGS655394:PGX655394 OWW655394:OXB655394 ONA655394:ONF655394 ODE655394:ODJ655394 NTI655394:NTN655394 NJM655394:NJR655394 MZQ655394:MZV655394 MPU655394:MPZ655394 MFY655394:MGD655394 LWC655394:LWH655394 LMG655394:LML655394 LCK655394:LCP655394 KSO655394:KST655394 KIS655394:KIX655394 JYW655394:JZB655394 JPA655394:JPF655394 JFE655394:JFJ655394 IVI655394:IVN655394 ILM655394:ILR655394 IBQ655394:IBV655394 HRU655394:HRZ655394 HHY655394:HID655394 GYC655394:GYH655394 GOG655394:GOL655394 GEK655394:GEP655394 FUO655394:FUT655394 FKS655394:FKX655394 FAW655394:FBB655394 ERA655394:ERF655394 EHE655394:EHJ655394 DXI655394:DXN655394 DNM655394:DNR655394 DDQ655394:DDV655394 CTU655394:CTZ655394 CJY655394:CKD655394 CAC655394:CAH655394 BQG655394:BQL655394 BGK655394:BGP655394 AWO655394:AWT655394 AMS655394:AMX655394 ACW655394:ADB655394 TA655394:TF655394 JE655394:JJ655394 I655394:N655394 WVQ589858:WVV589858 WLU589858:WLZ589858 WBY589858:WCD589858 VSC589858:VSH589858 VIG589858:VIL589858 UYK589858:UYP589858 UOO589858:UOT589858 UES589858:UEX589858 TUW589858:TVB589858 TLA589858:TLF589858 TBE589858:TBJ589858 SRI589858:SRN589858 SHM589858:SHR589858 RXQ589858:RXV589858 RNU589858:RNZ589858 RDY589858:RED589858 QUC589858:QUH589858 QKG589858:QKL589858 QAK589858:QAP589858 PQO589858:PQT589858 PGS589858:PGX589858 OWW589858:OXB589858 ONA589858:ONF589858 ODE589858:ODJ589858 NTI589858:NTN589858 NJM589858:NJR589858 MZQ589858:MZV589858 MPU589858:MPZ589858 MFY589858:MGD589858 LWC589858:LWH589858 LMG589858:LML589858 LCK589858:LCP589858 KSO589858:KST589858 KIS589858:KIX589858 JYW589858:JZB589858 JPA589858:JPF589858 JFE589858:JFJ589858 IVI589858:IVN589858 ILM589858:ILR589858 IBQ589858:IBV589858 HRU589858:HRZ589858 HHY589858:HID589858 GYC589858:GYH589858 GOG589858:GOL589858 GEK589858:GEP589858 FUO589858:FUT589858 FKS589858:FKX589858 FAW589858:FBB589858 ERA589858:ERF589858 EHE589858:EHJ589858 DXI589858:DXN589858 DNM589858:DNR589858 DDQ589858:DDV589858 CTU589858:CTZ589858 CJY589858:CKD589858 CAC589858:CAH589858 BQG589858:BQL589858 BGK589858:BGP589858 AWO589858:AWT589858 AMS589858:AMX589858 ACW589858:ADB589858 TA589858:TF589858 JE589858:JJ589858 I589858:N589858 WVQ524322:WVV524322 WLU524322:WLZ524322 WBY524322:WCD524322 VSC524322:VSH524322 VIG524322:VIL524322 UYK524322:UYP524322 UOO524322:UOT524322 UES524322:UEX524322 TUW524322:TVB524322 TLA524322:TLF524322 TBE524322:TBJ524322 SRI524322:SRN524322 SHM524322:SHR524322 RXQ524322:RXV524322 RNU524322:RNZ524322 RDY524322:RED524322 QUC524322:QUH524322 QKG524322:QKL524322 QAK524322:QAP524322 PQO524322:PQT524322 PGS524322:PGX524322 OWW524322:OXB524322 ONA524322:ONF524322 ODE524322:ODJ524322 NTI524322:NTN524322 NJM524322:NJR524322 MZQ524322:MZV524322 MPU524322:MPZ524322 MFY524322:MGD524322 LWC524322:LWH524322 LMG524322:LML524322 LCK524322:LCP524322 KSO524322:KST524322 KIS524322:KIX524322 JYW524322:JZB524322 JPA524322:JPF524322 JFE524322:JFJ524322 IVI524322:IVN524322 ILM524322:ILR524322 IBQ524322:IBV524322 HRU524322:HRZ524322 HHY524322:HID524322 GYC524322:GYH524322 GOG524322:GOL524322 GEK524322:GEP524322 FUO524322:FUT524322 FKS524322:FKX524322 FAW524322:FBB524322 ERA524322:ERF524322 EHE524322:EHJ524322 DXI524322:DXN524322 DNM524322:DNR524322 DDQ524322:DDV524322 CTU524322:CTZ524322 CJY524322:CKD524322 CAC524322:CAH524322 BQG524322:BQL524322 BGK524322:BGP524322 AWO524322:AWT524322 AMS524322:AMX524322 ACW524322:ADB524322 TA524322:TF524322 JE524322:JJ524322 I524322:N524322 WVQ458786:WVV458786 WLU458786:WLZ458786 WBY458786:WCD458786 VSC458786:VSH458786 VIG458786:VIL458786 UYK458786:UYP458786 UOO458786:UOT458786 UES458786:UEX458786 TUW458786:TVB458786 TLA458786:TLF458786 TBE458786:TBJ458786 SRI458786:SRN458786 SHM458786:SHR458786 RXQ458786:RXV458786 RNU458786:RNZ458786 RDY458786:RED458786 QUC458786:QUH458786 QKG458786:QKL458786 QAK458786:QAP458786 PQO458786:PQT458786 PGS458786:PGX458786 OWW458786:OXB458786 ONA458786:ONF458786 ODE458786:ODJ458786 NTI458786:NTN458786 NJM458786:NJR458786 MZQ458786:MZV458786 MPU458786:MPZ458786 MFY458786:MGD458786 LWC458786:LWH458786 LMG458786:LML458786 LCK458786:LCP458786 KSO458786:KST458786 KIS458786:KIX458786 JYW458786:JZB458786 JPA458786:JPF458786 JFE458786:JFJ458786 IVI458786:IVN458786 ILM458786:ILR458786 IBQ458786:IBV458786 HRU458786:HRZ458786 HHY458786:HID458786 GYC458786:GYH458786 GOG458786:GOL458786 GEK458786:GEP458786 FUO458786:FUT458786 FKS458786:FKX458786 FAW458786:FBB458786 ERA458786:ERF458786 EHE458786:EHJ458786 DXI458786:DXN458786 DNM458786:DNR458786 DDQ458786:DDV458786 CTU458786:CTZ458786 CJY458786:CKD458786 CAC458786:CAH458786 BQG458786:BQL458786 BGK458786:BGP458786 AWO458786:AWT458786 AMS458786:AMX458786 ACW458786:ADB458786 TA458786:TF458786 JE458786:JJ458786 I458786:N458786 WVQ393250:WVV393250 WLU393250:WLZ393250 WBY393250:WCD393250 VSC393250:VSH393250 VIG393250:VIL393250 UYK393250:UYP393250 UOO393250:UOT393250 UES393250:UEX393250 TUW393250:TVB393250 TLA393250:TLF393250 TBE393250:TBJ393250 SRI393250:SRN393250 SHM393250:SHR393250 RXQ393250:RXV393250 RNU393250:RNZ393250 RDY393250:RED393250 QUC393250:QUH393250 QKG393250:QKL393250 QAK393250:QAP393250 PQO393250:PQT393250 PGS393250:PGX393250 OWW393250:OXB393250 ONA393250:ONF393250 ODE393250:ODJ393250 NTI393250:NTN393250 NJM393250:NJR393250 MZQ393250:MZV393250 MPU393250:MPZ393250 MFY393250:MGD393250 LWC393250:LWH393250 LMG393250:LML393250 LCK393250:LCP393250 KSO393250:KST393250 KIS393250:KIX393250 JYW393250:JZB393250 JPA393250:JPF393250 JFE393250:JFJ393250 IVI393250:IVN393250 ILM393250:ILR393250 IBQ393250:IBV393250 HRU393250:HRZ393250 HHY393250:HID393250 GYC393250:GYH393250 GOG393250:GOL393250 GEK393250:GEP393250 FUO393250:FUT393250 FKS393250:FKX393250 FAW393250:FBB393250 ERA393250:ERF393250 EHE393250:EHJ393250 DXI393250:DXN393250 DNM393250:DNR393250 DDQ393250:DDV393250 CTU393250:CTZ393250 CJY393250:CKD393250 CAC393250:CAH393250 BQG393250:BQL393250 BGK393250:BGP393250 AWO393250:AWT393250 AMS393250:AMX393250 ACW393250:ADB393250 TA393250:TF393250 JE393250:JJ393250 I393250:N393250 WVQ327714:WVV327714 WLU327714:WLZ327714 WBY327714:WCD327714 VSC327714:VSH327714 VIG327714:VIL327714 UYK327714:UYP327714 UOO327714:UOT327714 UES327714:UEX327714 TUW327714:TVB327714 TLA327714:TLF327714 TBE327714:TBJ327714 SRI327714:SRN327714 SHM327714:SHR327714 RXQ327714:RXV327714 RNU327714:RNZ327714 RDY327714:RED327714 QUC327714:QUH327714 QKG327714:QKL327714 QAK327714:QAP327714 PQO327714:PQT327714 PGS327714:PGX327714 OWW327714:OXB327714 ONA327714:ONF327714 ODE327714:ODJ327714 NTI327714:NTN327714 NJM327714:NJR327714 MZQ327714:MZV327714 MPU327714:MPZ327714 MFY327714:MGD327714 LWC327714:LWH327714 LMG327714:LML327714 LCK327714:LCP327714 KSO327714:KST327714 KIS327714:KIX327714 JYW327714:JZB327714 JPA327714:JPF327714 JFE327714:JFJ327714 IVI327714:IVN327714 ILM327714:ILR327714 IBQ327714:IBV327714 HRU327714:HRZ327714 HHY327714:HID327714 GYC327714:GYH327714 GOG327714:GOL327714 GEK327714:GEP327714 FUO327714:FUT327714 FKS327714:FKX327714 FAW327714:FBB327714 ERA327714:ERF327714 EHE327714:EHJ327714 DXI327714:DXN327714 DNM327714:DNR327714 DDQ327714:DDV327714 CTU327714:CTZ327714 CJY327714:CKD327714 CAC327714:CAH327714 BQG327714:BQL327714 BGK327714:BGP327714 AWO327714:AWT327714 AMS327714:AMX327714 ACW327714:ADB327714 TA327714:TF327714 JE327714:JJ327714 I327714:N327714 WVQ262178:WVV262178 WLU262178:WLZ262178 WBY262178:WCD262178 VSC262178:VSH262178 VIG262178:VIL262178 UYK262178:UYP262178 UOO262178:UOT262178 UES262178:UEX262178 TUW262178:TVB262178 TLA262178:TLF262178 TBE262178:TBJ262178 SRI262178:SRN262178 SHM262178:SHR262178 RXQ262178:RXV262178 RNU262178:RNZ262178 RDY262178:RED262178 QUC262178:QUH262178 QKG262178:QKL262178 QAK262178:QAP262178 PQO262178:PQT262178 PGS262178:PGX262178 OWW262178:OXB262178 ONA262178:ONF262178 ODE262178:ODJ262178 NTI262178:NTN262178 NJM262178:NJR262178 MZQ262178:MZV262178 MPU262178:MPZ262178 MFY262178:MGD262178 LWC262178:LWH262178 LMG262178:LML262178 LCK262178:LCP262178 KSO262178:KST262178 KIS262178:KIX262178 JYW262178:JZB262178 JPA262178:JPF262178 JFE262178:JFJ262178 IVI262178:IVN262178 ILM262178:ILR262178 IBQ262178:IBV262178 HRU262178:HRZ262178 HHY262178:HID262178 GYC262178:GYH262178 GOG262178:GOL262178 GEK262178:GEP262178 FUO262178:FUT262178 FKS262178:FKX262178 FAW262178:FBB262178 ERA262178:ERF262178 EHE262178:EHJ262178 DXI262178:DXN262178 DNM262178:DNR262178 DDQ262178:DDV262178 CTU262178:CTZ262178 CJY262178:CKD262178 CAC262178:CAH262178 BQG262178:BQL262178 BGK262178:BGP262178 AWO262178:AWT262178 AMS262178:AMX262178 ACW262178:ADB262178 TA262178:TF262178 JE262178:JJ262178 I262178:N262178 WVQ196642:WVV196642 WLU196642:WLZ196642 WBY196642:WCD196642 VSC196642:VSH196642 VIG196642:VIL196642 UYK196642:UYP196642 UOO196642:UOT196642 UES196642:UEX196642 TUW196642:TVB196642 TLA196642:TLF196642 TBE196642:TBJ196642 SRI196642:SRN196642 SHM196642:SHR196642 RXQ196642:RXV196642 RNU196642:RNZ196642 RDY196642:RED196642 QUC196642:QUH196642 QKG196642:QKL196642 QAK196642:QAP196642 PQO196642:PQT196642 PGS196642:PGX196642 OWW196642:OXB196642 ONA196642:ONF196642 ODE196642:ODJ196642 NTI196642:NTN196642 NJM196642:NJR196642 MZQ196642:MZV196642 MPU196642:MPZ196642 MFY196642:MGD196642 LWC196642:LWH196642 LMG196642:LML196642 LCK196642:LCP196642 KSO196642:KST196642 KIS196642:KIX196642 JYW196642:JZB196642 JPA196642:JPF196642 JFE196642:JFJ196642 IVI196642:IVN196642 ILM196642:ILR196642 IBQ196642:IBV196642 HRU196642:HRZ196642 HHY196642:HID196642 GYC196642:GYH196642 GOG196642:GOL196642 GEK196642:GEP196642 FUO196642:FUT196642 FKS196642:FKX196642 FAW196642:FBB196642 ERA196642:ERF196642 EHE196642:EHJ196642 DXI196642:DXN196642 DNM196642:DNR196642 DDQ196642:DDV196642 CTU196642:CTZ196642 CJY196642:CKD196642 CAC196642:CAH196642 BQG196642:BQL196642 BGK196642:BGP196642 AWO196642:AWT196642 AMS196642:AMX196642 ACW196642:ADB196642 TA196642:TF196642 JE196642:JJ196642 I196642:N196642 WVQ131106:WVV131106 WLU131106:WLZ131106 WBY131106:WCD131106 VSC131106:VSH131106 VIG131106:VIL131106 UYK131106:UYP131106 UOO131106:UOT131106 UES131106:UEX131106 TUW131106:TVB131106 TLA131106:TLF131106 TBE131106:TBJ131106 SRI131106:SRN131106 SHM131106:SHR131106 RXQ131106:RXV131106 RNU131106:RNZ131106 RDY131106:RED131106 QUC131106:QUH131106 QKG131106:QKL131106 QAK131106:QAP131106 PQO131106:PQT131106 PGS131106:PGX131106 OWW131106:OXB131106 ONA131106:ONF131106 ODE131106:ODJ131106 NTI131106:NTN131106 NJM131106:NJR131106 MZQ131106:MZV131106 MPU131106:MPZ131106 MFY131106:MGD131106 LWC131106:LWH131106 LMG131106:LML131106 LCK131106:LCP131106 KSO131106:KST131106 KIS131106:KIX131106 JYW131106:JZB131106 JPA131106:JPF131106 JFE131106:JFJ131106 IVI131106:IVN131106 ILM131106:ILR131106 IBQ131106:IBV131106 HRU131106:HRZ131106 HHY131106:HID131106 GYC131106:GYH131106 GOG131106:GOL131106 GEK131106:GEP131106 FUO131106:FUT131106 FKS131106:FKX131106 FAW131106:FBB131106 ERA131106:ERF131106 EHE131106:EHJ131106 DXI131106:DXN131106 DNM131106:DNR131106 DDQ131106:DDV131106 CTU131106:CTZ131106 CJY131106:CKD131106 CAC131106:CAH131106 BQG131106:BQL131106 BGK131106:BGP131106 AWO131106:AWT131106 AMS131106:AMX131106 ACW131106:ADB131106 TA131106:TF131106 JE131106:JJ131106 I131106:N131106 WVQ65570:WVV65570 WLU65570:WLZ65570 WBY65570:WCD65570 VSC65570:VSH65570 VIG65570:VIL65570 UYK65570:UYP65570 UOO65570:UOT65570 UES65570:UEX65570 TUW65570:TVB65570 TLA65570:TLF65570 TBE65570:TBJ65570 SRI65570:SRN65570 SHM65570:SHR65570 RXQ65570:RXV65570 RNU65570:RNZ65570 RDY65570:RED65570 QUC65570:QUH65570 QKG65570:QKL65570 QAK65570:QAP65570 PQO65570:PQT65570 PGS65570:PGX65570 OWW65570:OXB65570 ONA65570:ONF65570 ODE65570:ODJ65570 NTI65570:NTN65570 NJM65570:NJR65570 MZQ65570:MZV65570 MPU65570:MPZ65570 MFY65570:MGD65570 LWC65570:LWH65570 LMG65570:LML65570 LCK65570:LCP65570 KSO65570:KST65570 KIS65570:KIX65570 JYW65570:JZB65570 JPA65570:JPF65570 JFE65570:JFJ65570 IVI65570:IVN65570 ILM65570:ILR65570 IBQ65570:IBV65570 HRU65570:HRZ65570 HHY65570:HID65570 GYC65570:GYH65570 GOG65570:GOL65570 GEK65570:GEP65570 FUO65570:FUT65570 FKS65570:FKX65570 FAW65570:FBB65570 ERA65570:ERF65570 EHE65570:EHJ65570 DXI65570:DXN65570 DNM65570:DNR65570 DDQ65570:DDV65570 CTU65570:CTZ65570 CJY65570:CKD65570 CAC65570:CAH65570 BQG65570:BQL65570 BGK65570:BGP65570 AWO65570:AWT65570 AMS65570:AMX65570 ACW65570:ADB65570 TA65570:TF65570 JE65570:JJ65570 I65570:N65570 WVQ33:WVV33 WLU33:WLZ33 WBY33:WCD33 VSC33:VSH33 VIG33:VIL33 UYK33:UYP33 UOO33:UOT33 UES33:UEX33 TUW33:TVB33 TLA33:TLF33 TBE33:TBJ33 SRI33:SRN33 SHM33:SHR33 RXQ33:RXV33 RNU33:RNZ33 RDY33:RED33 QUC33:QUH33 QKG33:QKL33 QAK33:QAP33 PQO33:PQT33 PGS33:PGX33 OWW33:OXB33 ONA33:ONF33 ODE33:ODJ33 NTI33:NTN33 NJM33:NJR33 MZQ33:MZV33 MPU33:MPZ33 MFY33:MGD33 LWC33:LWH33 LMG33:LML33 LCK33:LCP33 KSO33:KST33 KIS33:KIX33 JYW33:JZB33 JPA33:JPF33 JFE33:JFJ33 IVI33:IVN33 ILM33:ILR33 IBQ33:IBV33 HRU33:HRZ33 HHY33:HID33 GYC33:GYH33 GOG33:GOL33 GEK33:GEP33 FUO33:FUT33 FKS33:FKX33 FAW33:FBB33 ERA33:ERF33 EHE33:EHJ33 DXI33:DXN33 DNM33:DNR33 DDQ33:DDV33 CTU33:CTZ33 CJY33:CKD33 CAC33:CAH33 BQG33:BQL33 BGK33:BGP33 AWO33:AWT33 AMS33:AMX33 ACW33:ADB33 TA33:TF33 JE33:JJ33 TA26:TF26 WVQ983068:WVV983068 WLU983068:WLZ983068 WBY983068:WCD983068 VSC983068:VSH983068 VIG983068:VIL983068 UYK983068:UYP983068 UOO983068:UOT983068 UES983068:UEX983068 TUW983068:TVB983068 TLA983068:TLF983068 TBE983068:TBJ983068 SRI983068:SRN983068 SHM983068:SHR983068 RXQ983068:RXV983068 RNU983068:RNZ983068 RDY983068:RED983068 QUC983068:QUH983068 QKG983068:QKL983068 QAK983068:QAP983068 PQO983068:PQT983068 PGS983068:PGX983068 OWW983068:OXB983068 ONA983068:ONF983068 ODE983068:ODJ983068 NTI983068:NTN983068 NJM983068:NJR983068 MZQ983068:MZV983068 MPU983068:MPZ983068 MFY983068:MGD983068 LWC983068:LWH983068 LMG983068:LML983068 LCK983068:LCP983068 KSO983068:KST983068 KIS983068:KIX983068 JYW983068:JZB983068 JPA983068:JPF983068 JFE983068:JFJ983068 IVI983068:IVN983068 ILM983068:ILR983068 IBQ983068:IBV983068 HRU983068:HRZ983068 HHY983068:HID983068 GYC983068:GYH983068 GOG983068:GOL983068 GEK983068:GEP983068 FUO983068:FUT983068 FKS983068:FKX983068 FAW983068:FBB983068 ERA983068:ERF983068 EHE983068:EHJ983068 DXI983068:DXN983068 DNM983068:DNR983068 DDQ983068:DDV983068 CTU983068:CTZ983068 CJY983068:CKD983068 CAC983068:CAH983068 BQG983068:BQL983068 BGK983068:BGP983068 AWO983068:AWT983068 AMS983068:AMX983068 ACW983068:ADB983068 TA983068:TF983068 JE983068:JJ983068 I983068:N983068 WVQ917532:WVV917532 WLU917532:WLZ917532 WBY917532:WCD917532 VSC917532:VSH917532 VIG917532:VIL917532 UYK917532:UYP917532 UOO917532:UOT917532 UES917532:UEX917532 TUW917532:TVB917532 TLA917532:TLF917532 TBE917532:TBJ917532 SRI917532:SRN917532 SHM917532:SHR917532 RXQ917532:RXV917532 RNU917532:RNZ917532 RDY917532:RED917532 QUC917532:QUH917532 QKG917532:QKL917532 QAK917532:QAP917532 PQO917532:PQT917532 PGS917532:PGX917532 OWW917532:OXB917532 ONA917532:ONF917532 ODE917532:ODJ917532 NTI917532:NTN917532 NJM917532:NJR917532 MZQ917532:MZV917532 MPU917532:MPZ917532 MFY917532:MGD917532 LWC917532:LWH917532 LMG917532:LML917532 LCK917532:LCP917532 KSO917532:KST917532 KIS917532:KIX917532 JYW917532:JZB917532 JPA917532:JPF917532 JFE917532:JFJ917532 IVI917532:IVN917532 ILM917532:ILR917532 IBQ917532:IBV917532 HRU917532:HRZ917532 HHY917532:HID917532 GYC917532:GYH917532 GOG917532:GOL917532 GEK917532:GEP917532 FUO917532:FUT917532 FKS917532:FKX917532 FAW917532:FBB917532 ERA917532:ERF917532 EHE917532:EHJ917532 DXI917532:DXN917532 DNM917532:DNR917532 DDQ917532:DDV917532 CTU917532:CTZ917532 CJY917532:CKD917532 CAC917532:CAH917532 BQG917532:BQL917532 BGK917532:BGP917532 AWO917532:AWT917532 AMS917532:AMX917532 ACW917532:ADB917532 TA917532:TF917532 JE917532:JJ917532 I917532:N917532 WVQ851996:WVV851996 WLU851996:WLZ851996 WBY851996:WCD851996 VSC851996:VSH851996 VIG851996:VIL851996 UYK851996:UYP851996 UOO851996:UOT851996 UES851996:UEX851996 TUW851996:TVB851996 TLA851996:TLF851996 TBE851996:TBJ851996 SRI851996:SRN851996 SHM851996:SHR851996 RXQ851996:RXV851996 RNU851996:RNZ851996 RDY851996:RED851996 QUC851996:QUH851996 QKG851996:QKL851996 QAK851996:QAP851996 PQO851996:PQT851996 PGS851996:PGX851996 OWW851996:OXB851996 ONA851996:ONF851996 ODE851996:ODJ851996 NTI851996:NTN851996 NJM851996:NJR851996 MZQ851996:MZV851996 MPU851996:MPZ851996 MFY851996:MGD851996 LWC851996:LWH851996 LMG851996:LML851996 LCK851996:LCP851996 KSO851996:KST851996 KIS851996:KIX851996 JYW851996:JZB851996 JPA851996:JPF851996 JFE851996:JFJ851996 IVI851996:IVN851996 ILM851996:ILR851996 IBQ851996:IBV851996 HRU851996:HRZ851996 HHY851996:HID851996 GYC851996:GYH851996 GOG851996:GOL851996 GEK851996:GEP851996 FUO851996:FUT851996 FKS851996:FKX851996 FAW851996:FBB851996 ERA851996:ERF851996 EHE851996:EHJ851996 DXI851996:DXN851996 DNM851996:DNR851996 DDQ851996:DDV851996 CTU851996:CTZ851996 CJY851996:CKD851996 CAC851996:CAH851996 BQG851996:BQL851996 BGK851996:BGP851996 AWO851996:AWT851996 AMS851996:AMX851996 ACW851996:ADB851996 TA851996:TF851996 JE851996:JJ851996 I851996:N851996 WVQ786460:WVV786460 WLU786460:WLZ786460 WBY786460:WCD786460 VSC786460:VSH786460 VIG786460:VIL786460 UYK786460:UYP786460 UOO786460:UOT786460 UES786460:UEX786460 TUW786460:TVB786460 TLA786460:TLF786460 TBE786460:TBJ786460 SRI786460:SRN786460 SHM786460:SHR786460 RXQ786460:RXV786460 RNU786460:RNZ786460 RDY786460:RED786460 QUC786460:QUH786460 QKG786460:QKL786460 QAK786460:QAP786460 PQO786460:PQT786460 PGS786460:PGX786460 OWW786460:OXB786460 ONA786460:ONF786460 ODE786460:ODJ786460 NTI786460:NTN786460 NJM786460:NJR786460 MZQ786460:MZV786460 MPU786460:MPZ786460 MFY786460:MGD786460 LWC786460:LWH786460 LMG786460:LML786460 LCK786460:LCP786460 KSO786460:KST786460 KIS786460:KIX786460 JYW786460:JZB786460 JPA786460:JPF786460 JFE786460:JFJ786460 IVI786460:IVN786460 ILM786460:ILR786460 IBQ786460:IBV786460 HRU786460:HRZ786460 HHY786460:HID786460 GYC786460:GYH786460 GOG786460:GOL786460 GEK786460:GEP786460 FUO786460:FUT786460 FKS786460:FKX786460 FAW786460:FBB786460 ERA786460:ERF786460 EHE786460:EHJ786460 DXI786460:DXN786460 DNM786460:DNR786460 DDQ786460:DDV786460 CTU786460:CTZ786460 CJY786460:CKD786460 CAC786460:CAH786460 BQG786460:BQL786460 BGK786460:BGP786460 AWO786460:AWT786460 AMS786460:AMX786460 ACW786460:ADB786460 TA786460:TF786460 JE786460:JJ786460 I786460:N786460 WVQ720924:WVV720924 WLU720924:WLZ720924 WBY720924:WCD720924 VSC720924:VSH720924 VIG720924:VIL720924 UYK720924:UYP720924 UOO720924:UOT720924 UES720924:UEX720924 TUW720924:TVB720924 TLA720924:TLF720924 TBE720924:TBJ720924 SRI720924:SRN720924 SHM720924:SHR720924 RXQ720924:RXV720924 RNU720924:RNZ720924 RDY720924:RED720924 QUC720924:QUH720924 QKG720924:QKL720924 QAK720924:QAP720924 PQO720924:PQT720924 PGS720924:PGX720924 OWW720924:OXB720924 ONA720924:ONF720924 ODE720924:ODJ720924 NTI720924:NTN720924 NJM720924:NJR720924 MZQ720924:MZV720924 MPU720924:MPZ720924 MFY720924:MGD720924 LWC720924:LWH720924 LMG720924:LML720924 LCK720924:LCP720924 KSO720924:KST720924 KIS720924:KIX720924 JYW720924:JZB720924 JPA720924:JPF720924 JFE720924:JFJ720924 IVI720924:IVN720924 ILM720924:ILR720924 IBQ720924:IBV720924 HRU720924:HRZ720924 HHY720924:HID720924 GYC720924:GYH720924 GOG720924:GOL720924 GEK720924:GEP720924 FUO720924:FUT720924 FKS720924:FKX720924 FAW720924:FBB720924 ERA720924:ERF720924 EHE720924:EHJ720924 DXI720924:DXN720924 DNM720924:DNR720924 DDQ720924:DDV720924 CTU720924:CTZ720924 CJY720924:CKD720924 CAC720924:CAH720924 BQG720924:BQL720924 BGK720924:BGP720924 AWO720924:AWT720924 AMS720924:AMX720924 ACW720924:ADB720924 TA720924:TF720924 JE720924:JJ720924 I720924:N720924 WVQ655388:WVV655388 WLU655388:WLZ655388 WBY655388:WCD655388 VSC655388:VSH655388 VIG655388:VIL655388 UYK655388:UYP655388 UOO655388:UOT655388 UES655388:UEX655388 TUW655388:TVB655388 TLA655388:TLF655388 TBE655388:TBJ655388 SRI655388:SRN655388 SHM655388:SHR655388 RXQ655388:RXV655388 RNU655388:RNZ655388 RDY655388:RED655388 QUC655388:QUH655388 QKG655388:QKL655388 QAK655388:QAP655388 PQO655388:PQT655388 PGS655388:PGX655388 OWW655388:OXB655388 ONA655388:ONF655388 ODE655388:ODJ655388 NTI655388:NTN655388 NJM655388:NJR655388 MZQ655388:MZV655388 MPU655388:MPZ655388 MFY655388:MGD655388 LWC655388:LWH655388 LMG655388:LML655388 LCK655388:LCP655388 KSO655388:KST655388 KIS655388:KIX655388 JYW655388:JZB655388 JPA655388:JPF655388 JFE655388:JFJ655388 IVI655388:IVN655388 ILM655388:ILR655388 IBQ655388:IBV655388 HRU655388:HRZ655388 HHY655388:HID655388 GYC655388:GYH655388 GOG655388:GOL655388 GEK655388:GEP655388 FUO655388:FUT655388 FKS655388:FKX655388 FAW655388:FBB655388 ERA655388:ERF655388 EHE655388:EHJ655388 DXI655388:DXN655388 DNM655388:DNR655388 DDQ655388:DDV655388 CTU655388:CTZ655388 CJY655388:CKD655388 CAC655388:CAH655388 BQG655388:BQL655388 BGK655388:BGP655388 AWO655388:AWT655388 AMS655388:AMX655388 ACW655388:ADB655388 TA655388:TF655388 JE655388:JJ655388 I655388:N655388 WVQ589852:WVV589852 WLU589852:WLZ589852 WBY589852:WCD589852 VSC589852:VSH589852 VIG589852:VIL589852 UYK589852:UYP589852 UOO589852:UOT589852 UES589852:UEX589852 TUW589852:TVB589852 TLA589852:TLF589852 TBE589852:TBJ589852 SRI589852:SRN589852 SHM589852:SHR589852 RXQ589852:RXV589852 RNU589852:RNZ589852 RDY589852:RED589852 QUC589852:QUH589852 QKG589852:QKL589852 QAK589852:QAP589852 PQO589852:PQT589852 PGS589852:PGX589852 OWW589852:OXB589852 ONA589852:ONF589852 ODE589852:ODJ589852 NTI589852:NTN589852 NJM589852:NJR589852 MZQ589852:MZV589852 MPU589852:MPZ589852 MFY589852:MGD589852 LWC589852:LWH589852 LMG589852:LML589852 LCK589852:LCP589852 KSO589852:KST589852 KIS589852:KIX589852 JYW589852:JZB589852 JPA589852:JPF589852 JFE589852:JFJ589852 IVI589852:IVN589852 ILM589852:ILR589852 IBQ589852:IBV589852 HRU589852:HRZ589852 HHY589852:HID589852 GYC589852:GYH589852 GOG589852:GOL589852 GEK589852:GEP589852 FUO589852:FUT589852 FKS589852:FKX589852 FAW589852:FBB589852 ERA589852:ERF589852 EHE589852:EHJ589852 DXI589852:DXN589852 DNM589852:DNR589852 DDQ589852:DDV589852 CTU589852:CTZ589852 CJY589852:CKD589852 CAC589852:CAH589852 BQG589852:BQL589852 BGK589852:BGP589852 AWO589852:AWT589852 AMS589852:AMX589852 ACW589852:ADB589852 TA589852:TF589852 JE589852:JJ589852 I589852:N589852 WVQ524316:WVV524316 WLU524316:WLZ524316 WBY524316:WCD524316 VSC524316:VSH524316 VIG524316:VIL524316 UYK524316:UYP524316 UOO524316:UOT524316 UES524316:UEX524316 TUW524316:TVB524316 TLA524316:TLF524316 TBE524316:TBJ524316 SRI524316:SRN524316 SHM524316:SHR524316 RXQ524316:RXV524316 RNU524316:RNZ524316 RDY524316:RED524316 QUC524316:QUH524316 QKG524316:QKL524316 QAK524316:QAP524316 PQO524316:PQT524316 PGS524316:PGX524316 OWW524316:OXB524316 ONA524316:ONF524316 ODE524316:ODJ524316 NTI524316:NTN524316 NJM524316:NJR524316 MZQ524316:MZV524316 MPU524316:MPZ524316 MFY524316:MGD524316 LWC524316:LWH524316 LMG524316:LML524316 LCK524316:LCP524316 KSO524316:KST524316 KIS524316:KIX524316 JYW524316:JZB524316 JPA524316:JPF524316 JFE524316:JFJ524316 IVI524316:IVN524316 ILM524316:ILR524316 IBQ524316:IBV524316 HRU524316:HRZ524316 HHY524316:HID524316 GYC524316:GYH524316 GOG524316:GOL524316 GEK524316:GEP524316 FUO524316:FUT524316 FKS524316:FKX524316 FAW524316:FBB524316 ERA524316:ERF524316 EHE524316:EHJ524316 DXI524316:DXN524316 DNM524316:DNR524316 DDQ524316:DDV524316 CTU524316:CTZ524316 CJY524316:CKD524316 CAC524316:CAH524316 BQG524316:BQL524316 BGK524316:BGP524316 AWO524316:AWT524316 AMS524316:AMX524316 ACW524316:ADB524316 TA524316:TF524316 JE524316:JJ524316 I524316:N524316 WVQ458780:WVV458780 WLU458780:WLZ458780 WBY458780:WCD458780 VSC458780:VSH458780 VIG458780:VIL458780 UYK458780:UYP458780 UOO458780:UOT458780 UES458780:UEX458780 TUW458780:TVB458780 TLA458780:TLF458780 TBE458780:TBJ458780 SRI458780:SRN458780 SHM458780:SHR458780 RXQ458780:RXV458780 RNU458780:RNZ458780 RDY458780:RED458780 QUC458780:QUH458780 QKG458780:QKL458780 QAK458780:QAP458780 PQO458780:PQT458780 PGS458780:PGX458780 OWW458780:OXB458780 ONA458780:ONF458780 ODE458780:ODJ458780 NTI458780:NTN458780 NJM458780:NJR458780 MZQ458780:MZV458780 MPU458780:MPZ458780 MFY458780:MGD458780 LWC458780:LWH458780 LMG458780:LML458780 LCK458780:LCP458780 KSO458780:KST458780 KIS458780:KIX458780 JYW458780:JZB458780 JPA458780:JPF458780 JFE458780:JFJ458780 IVI458780:IVN458780 ILM458780:ILR458780 IBQ458780:IBV458780 HRU458780:HRZ458780 HHY458780:HID458780 GYC458780:GYH458780 GOG458780:GOL458780 GEK458780:GEP458780 FUO458780:FUT458780 FKS458780:FKX458780 FAW458780:FBB458780 ERA458780:ERF458780 EHE458780:EHJ458780 DXI458780:DXN458780 DNM458780:DNR458780 DDQ458780:DDV458780 CTU458780:CTZ458780 CJY458780:CKD458780 CAC458780:CAH458780 BQG458780:BQL458780 BGK458780:BGP458780 AWO458780:AWT458780 AMS458780:AMX458780 ACW458780:ADB458780 TA458780:TF458780 JE458780:JJ458780 I458780:N458780 WVQ393244:WVV393244 WLU393244:WLZ393244 WBY393244:WCD393244 VSC393244:VSH393244 VIG393244:VIL393244 UYK393244:UYP393244 UOO393244:UOT393244 UES393244:UEX393244 TUW393244:TVB393244 TLA393244:TLF393244 TBE393244:TBJ393244 SRI393244:SRN393244 SHM393244:SHR393244 RXQ393244:RXV393244 RNU393244:RNZ393244 RDY393244:RED393244 QUC393244:QUH393244 QKG393244:QKL393244 QAK393244:QAP393244 PQO393244:PQT393244 PGS393244:PGX393244 OWW393244:OXB393244 ONA393244:ONF393244 ODE393244:ODJ393244 NTI393244:NTN393244 NJM393244:NJR393244 MZQ393244:MZV393244 MPU393244:MPZ393244 MFY393244:MGD393244 LWC393244:LWH393244 LMG393244:LML393244 LCK393244:LCP393244 KSO393244:KST393244 KIS393244:KIX393244 JYW393244:JZB393244 JPA393244:JPF393244 JFE393244:JFJ393244 IVI393244:IVN393244 ILM393244:ILR393244 IBQ393244:IBV393244 HRU393244:HRZ393244 HHY393244:HID393244 GYC393244:GYH393244 GOG393244:GOL393244 GEK393244:GEP393244 FUO393244:FUT393244 FKS393244:FKX393244 FAW393244:FBB393244 ERA393244:ERF393244 EHE393244:EHJ393244 DXI393244:DXN393244 DNM393244:DNR393244 DDQ393244:DDV393244 CTU393244:CTZ393244 CJY393244:CKD393244 CAC393244:CAH393244 BQG393244:BQL393244 BGK393244:BGP393244 AWO393244:AWT393244 AMS393244:AMX393244 ACW393244:ADB393244 TA393244:TF393244 JE393244:JJ393244 I393244:N393244 WVQ327708:WVV327708 WLU327708:WLZ327708 WBY327708:WCD327708 VSC327708:VSH327708 VIG327708:VIL327708 UYK327708:UYP327708 UOO327708:UOT327708 UES327708:UEX327708 TUW327708:TVB327708 TLA327708:TLF327708 TBE327708:TBJ327708 SRI327708:SRN327708 SHM327708:SHR327708 RXQ327708:RXV327708 RNU327708:RNZ327708 RDY327708:RED327708 QUC327708:QUH327708 QKG327708:QKL327708 QAK327708:QAP327708 PQO327708:PQT327708 PGS327708:PGX327708 OWW327708:OXB327708 ONA327708:ONF327708 ODE327708:ODJ327708 NTI327708:NTN327708 NJM327708:NJR327708 MZQ327708:MZV327708 MPU327708:MPZ327708 MFY327708:MGD327708 LWC327708:LWH327708 LMG327708:LML327708 LCK327708:LCP327708 KSO327708:KST327708 KIS327708:KIX327708 JYW327708:JZB327708 JPA327708:JPF327708 JFE327708:JFJ327708 IVI327708:IVN327708 ILM327708:ILR327708 IBQ327708:IBV327708 HRU327708:HRZ327708 HHY327708:HID327708 GYC327708:GYH327708 GOG327708:GOL327708 GEK327708:GEP327708 FUO327708:FUT327708 FKS327708:FKX327708 FAW327708:FBB327708 ERA327708:ERF327708 EHE327708:EHJ327708 DXI327708:DXN327708 DNM327708:DNR327708 DDQ327708:DDV327708 CTU327708:CTZ327708 CJY327708:CKD327708 CAC327708:CAH327708 BQG327708:BQL327708 BGK327708:BGP327708 AWO327708:AWT327708 AMS327708:AMX327708 ACW327708:ADB327708 TA327708:TF327708 JE327708:JJ327708 I327708:N327708 WVQ262172:WVV262172 WLU262172:WLZ262172 WBY262172:WCD262172 VSC262172:VSH262172 VIG262172:VIL262172 UYK262172:UYP262172 UOO262172:UOT262172 UES262172:UEX262172 TUW262172:TVB262172 TLA262172:TLF262172 TBE262172:TBJ262172 SRI262172:SRN262172 SHM262172:SHR262172 RXQ262172:RXV262172 RNU262172:RNZ262172 RDY262172:RED262172 QUC262172:QUH262172 QKG262172:QKL262172 QAK262172:QAP262172 PQO262172:PQT262172 PGS262172:PGX262172 OWW262172:OXB262172 ONA262172:ONF262172 ODE262172:ODJ262172 NTI262172:NTN262172 NJM262172:NJR262172 MZQ262172:MZV262172 MPU262172:MPZ262172 MFY262172:MGD262172 LWC262172:LWH262172 LMG262172:LML262172 LCK262172:LCP262172 KSO262172:KST262172 KIS262172:KIX262172 JYW262172:JZB262172 JPA262172:JPF262172 JFE262172:JFJ262172 IVI262172:IVN262172 ILM262172:ILR262172 IBQ262172:IBV262172 HRU262172:HRZ262172 HHY262172:HID262172 GYC262172:GYH262172 GOG262172:GOL262172 GEK262172:GEP262172 FUO262172:FUT262172 FKS262172:FKX262172 FAW262172:FBB262172 ERA262172:ERF262172 EHE262172:EHJ262172 DXI262172:DXN262172 DNM262172:DNR262172 DDQ262172:DDV262172 CTU262172:CTZ262172 CJY262172:CKD262172 CAC262172:CAH262172 BQG262172:BQL262172 BGK262172:BGP262172 AWO262172:AWT262172 AMS262172:AMX262172 ACW262172:ADB262172 TA262172:TF262172 JE262172:JJ262172 I262172:N262172 WVQ196636:WVV196636 WLU196636:WLZ196636 WBY196636:WCD196636 VSC196636:VSH196636 VIG196636:VIL196636 UYK196636:UYP196636 UOO196636:UOT196636 UES196636:UEX196636 TUW196636:TVB196636 TLA196636:TLF196636 TBE196636:TBJ196636 SRI196636:SRN196636 SHM196636:SHR196636 RXQ196636:RXV196636 RNU196636:RNZ196636 RDY196636:RED196636 QUC196636:QUH196636 QKG196636:QKL196636 QAK196636:QAP196636 PQO196636:PQT196636 PGS196636:PGX196636 OWW196636:OXB196636 ONA196636:ONF196636 ODE196636:ODJ196636 NTI196636:NTN196636 NJM196636:NJR196636 MZQ196636:MZV196636 MPU196636:MPZ196636 MFY196636:MGD196636 LWC196636:LWH196636 LMG196636:LML196636 LCK196636:LCP196636 KSO196636:KST196636 KIS196636:KIX196636 JYW196636:JZB196636 JPA196636:JPF196636 JFE196636:JFJ196636 IVI196636:IVN196636 ILM196636:ILR196636 IBQ196636:IBV196636 HRU196636:HRZ196636 HHY196636:HID196636 GYC196636:GYH196636 GOG196636:GOL196636 GEK196636:GEP196636 FUO196636:FUT196636 FKS196636:FKX196636 FAW196636:FBB196636 ERA196636:ERF196636 EHE196636:EHJ196636 DXI196636:DXN196636 DNM196636:DNR196636 DDQ196636:DDV196636 CTU196636:CTZ196636 CJY196636:CKD196636 CAC196636:CAH196636 BQG196636:BQL196636 BGK196636:BGP196636 AWO196636:AWT196636 AMS196636:AMX196636 ACW196636:ADB196636 TA196636:TF196636 JE196636:JJ196636 I196636:N196636 WVQ131100:WVV131100 WLU131100:WLZ131100 WBY131100:WCD131100 VSC131100:VSH131100 VIG131100:VIL131100 UYK131100:UYP131100 UOO131100:UOT131100 UES131100:UEX131100 TUW131100:TVB131100 TLA131100:TLF131100 TBE131100:TBJ131100 SRI131100:SRN131100 SHM131100:SHR131100 RXQ131100:RXV131100 RNU131100:RNZ131100 RDY131100:RED131100 QUC131100:QUH131100 QKG131100:QKL131100 QAK131100:QAP131100 PQO131100:PQT131100 PGS131100:PGX131100 OWW131100:OXB131100 ONA131100:ONF131100 ODE131100:ODJ131100 NTI131100:NTN131100 NJM131100:NJR131100 MZQ131100:MZV131100 MPU131100:MPZ131100 MFY131100:MGD131100 LWC131100:LWH131100 LMG131100:LML131100 LCK131100:LCP131100 KSO131100:KST131100 KIS131100:KIX131100 JYW131100:JZB131100 JPA131100:JPF131100 JFE131100:JFJ131100 IVI131100:IVN131100 ILM131100:ILR131100 IBQ131100:IBV131100 HRU131100:HRZ131100 HHY131100:HID131100 GYC131100:GYH131100 GOG131100:GOL131100 GEK131100:GEP131100 FUO131100:FUT131100 FKS131100:FKX131100 FAW131100:FBB131100 ERA131100:ERF131100 EHE131100:EHJ131100 DXI131100:DXN131100 DNM131100:DNR131100 DDQ131100:DDV131100 CTU131100:CTZ131100 CJY131100:CKD131100 CAC131100:CAH131100 BQG131100:BQL131100 BGK131100:BGP131100 AWO131100:AWT131100 AMS131100:AMX131100 ACW131100:ADB131100 TA131100:TF131100 JE131100:JJ131100 I131100:N131100 WVQ65564:WVV65564 WLU65564:WLZ65564 WBY65564:WCD65564 VSC65564:VSH65564 VIG65564:VIL65564 UYK65564:UYP65564 UOO65564:UOT65564 UES65564:UEX65564 TUW65564:TVB65564 TLA65564:TLF65564 TBE65564:TBJ65564 SRI65564:SRN65564 SHM65564:SHR65564 RXQ65564:RXV65564 RNU65564:RNZ65564 RDY65564:RED65564 QUC65564:QUH65564 QKG65564:QKL65564 QAK65564:QAP65564 PQO65564:PQT65564 PGS65564:PGX65564 OWW65564:OXB65564 ONA65564:ONF65564 ODE65564:ODJ65564 NTI65564:NTN65564 NJM65564:NJR65564 MZQ65564:MZV65564 MPU65564:MPZ65564 MFY65564:MGD65564 LWC65564:LWH65564 LMG65564:LML65564 LCK65564:LCP65564 KSO65564:KST65564 KIS65564:KIX65564 JYW65564:JZB65564 JPA65564:JPF65564 JFE65564:JFJ65564 IVI65564:IVN65564 ILM65564:ILR65564 IBQ65564:IBV65564 HRU65564:HRZ65564 HHY65564:HID65564 GYC65564:GYH65564 GOG65564:GOL65564 GEK65564:GEP65564 FUO65564:FUT65564 FKS65564:FKX65564 FAW65564:FBB65564 ERA65564:ERF65564 EHE65564:EHJ65564 DXI65564:DXN65564 DNM65564:DNR65564 DDQ65564:DDV65564 CTU65564:CTZ65564 CJY65564:CKD65564 CAC65564:CAH65564 BQG65564:BQL65564 BGK65564:BGP65564 AWO65564:AWT65564 AMS65564:AMX65564 ACW65564:ADB65564 TA65564:TF65564 JE65564:JJ65564 I65564:N65564 WVQ26:WVV26 WLU26:WLZ26 WBY26:WCD26 VSC26:VSH26 VIG26:VIL26 UYK26:UYP26 UOO26:UOT26 UES26:UEX26 TUW26:TVB26 TLA26:TLF26 TBE26:TBJ26 SRI26:SRN26 SHM26:SHR26 RXQ26:RXV26 RNU26:RNZ26 RDY26:RED26 QUC26:QUH26 QKG26:QKL26 QAK26:QAP26 PQO26:PQT26 PGS26:PGX26 OWW26:OXB26 ONA26:ONF26 ODE26:ODJ26 NTI26:NTN26 NJM26:NJR26 MZQ26:MZV26 MPU26:MPZ26 MFY26:MGD26 LWC26:LWH26 LMG26:LML26 LCK26:LCP26 KSO26:KST26 KIS26:KIX26 JYW26:JZB26 JPA26:JPF26 JFE26:JFJ26 IVI26:IVN26 ILM26:ILR26 IBQ26:IBV26 HRU26:HRZ26 HHY26:HID26 GYC26:GYH26 GOG26:GOL26 GEK26:GEP26 FUO26:FUT26 FKS26:FKX26 FAW26:FBB26 ERA26:ERF26 EHE26:EHJ26 DXI26:DXN26 DNM26:DNR26 DDQ26:DDV26 CTU26:CTZ26 CJY26:CKD26 CAC26:CAH26 BQG26:BQL26 BGK26:BGP26 AWO26:AWT26 AMS26:AMX26 ACW26:ADB26" xr:uid="{0EC4DCAB-4400-44D8-AD26-CBC9F21E8AF8}">
      <formula1>$A$73:$A$101</formula1>
    </dataValidation>
    <dataValidation type="list" allowBlank="1" showInputMessage="1" showErrorMessage="1" sqref="I26:N26 M37:N37 I33:N33" xr:uid="{9093FA31-D3EE-41E1-8DDC-E49779B4CA71}">
      <formula1>$A$78:$A$123</formula1>
    </dataValidation>
  </dataValidations>
  <hyperlinks>
    <hyperlink ref="Q56" r:id="rId1" display="EEM Website" xr:uid="{6C425F02-C1C0-40C0-9DC1-CCE63B974647}"/>
    <hyperlink ref="Q37:U38" location="sp117" display="must be based on local counts and realistic projections. In absence of reliable data Worksheet SP11-7 may be used for estimating the cyclist volumes." xr:uid="{55C45B9C-070F-4D19-84AF-3ABEA9BDD256}"/>
    <hyperlink ref="Q56:U58" r:id="rId2" display="visit MBCM Web page for the latest update factors" xr:uid="{A755B78D-EC05-4EBD-B178-95D29158FE98}"/>
  </hyperlinks>
  <printOptions horizontalCentered="1"/>
  <pageMargins left="0.78740157480314965" right="0.74803149606299213" top="0.98425196850393704" bottom="0.98425196850393704" header="0.51181102362204722" footer="0.51181102362204722"/>
  <pageSetup paperSize="9" scale="92" orientation="portrait" r:id="rId3"/>
  <headerFooter scaleWithDoc="0" alignWithMargins="0">
    <oddHeader>&amp;L&amp;"-,Regular"&amp;8&amp;F&amp;R&amp;"-,Regular"&amp;8&amp;A
________________________________________________________________________________</oddHeader>
    <oddFooter>&amp;L&amp;"-,Regular"&amp;8___________________________________________________________________________________
NZ Transport Agency’s Economic evaluation manual 
Effective from Jul 2013</oddFooter>
  </headerFooter>
  <colBreaks count="1" manualBreakCount="1">
    <brk id="15" max="59" man="1"/>
  </colBreaks>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00D84-C4B4-4B8C-8C56-0E7BC99B7FC8}">
  <sheetPr>
    <pageSetUpPr fitToPage="1"/>
  </sheetPr>
  <dimension ref="A1:AI93"/>
  <sheetViews>
    <sheetView topLeftCell="A3" zoomScale="115" zoomScaleNormal="115" workbookViewId="0">
      <selection activeCell="K23" sqref="K23:M23"/>
    </sheetView>
  </sheetViews>
  <sheetFormatPr defaultColWidth="7.69921875" defaultRowHeight="12.6"/>
  <cols>
    <col min="1" max="1" width="2.5" style="61" customWidth="1"/>
    <col min="2" max="2" width="6.69921875" style="61" customWidth="1"/>
    <col min="3" max="10" width="3.19921875" style="61" customWidth="1"/>
    <col min="11" max="13" width="4.69921875" style="61" customWidth="1"/>
    <col min="14" max="14" width="4.296875" style="61" customWidth="1"/>
    <col min="15" max="15" width="4.69921875" style="61" customWidth="1"/>
    <col min="16" max="19" width="4.296875" style="61" customWidth="1"/>
    <col min="20" max="20" width="3.19921875" style="61" customWidth="1"/>
    <col min="21" max="21" width="13.69921875" style="61" customWidth="1"/>
    <col min="22" max="22" width="26.69921875" style="61" customWidth="1"/>
    <col min="23" max="26" width="13.69921875" style="61" customWidth="1"/>
    <col min="27" max="27" width="7.69921875" style="61" customWidth="1"/>
    <col min="28" max="31" width="7.69921875" style="61"/>
    <col min="32" max="35" width="0" style="61" hidden="1" customWidth="1"/>
    <col min="36" max="256" width="7.69921875" style="61"/>
    <col min="257" max="257" width="2.5" style="61" customWidth="1"/>
    <col min="258" max="258" width="6.69921875" style="61" customWidth="1"/>
    <col min="259" max="266" width="3.19921875" style="61" customWidth="1"/>
    <col min="267" max="269" width="4.69921875" style="61" customWidth="1"/>
    <col min="270" max="270" width="4.296875" style="61" customWidth="1"/>
    <col min="271" max="271" width="4.69921875" style="61" customWidth="1"/>
    <col min="272" max="275" width="4.296875" style="61" customWidth="1"/>
    <col min="276" max="276" width="3.19921875" style="61" customWidth="1"/>
    <col min="277" max="277" width="13.69921875" style="61" customWidth="1"/>
    <col min="278" max="278" width="26.69921875" style="61" customWidth="1"/>
    <col min="279" max="282" width="13.69921875" style="61" customWidth="1"/>
    <col min="283" max="287" width="7.69921875" style="61"/>
    <col min="288" max="291" width="0" style="61" hidden="1" customWidth="1"/>
    <col min="292" max="512" width="7.69921875" style="61"/>
    <col min="513" max="513" width="2.5" style="61" customWidth="1"/>
    <col min="514" max="514" width="6.69921875" style="61" customWidth="1"/>
    <col min="515" max="522" width="3.19921875" style="61" customWidth="1"/>
    <col min="523" max="525" width="4.69921875" style="61" customWidth="1"/>
    <col min="526" max="526" width="4.296875" style="61" customWidth="1"/>
    <col min="527" max="527" width="4.69921875" style="61" customWidth="1"/>
    <col min="528" max="531" width="4.296875" style="61" customWidth="1"/>
    <col min="532" max="532" width="3.19921875" style="61" customWidth="1"/>
    <col min="533" max="533" width="13.69921875" style="61" customWidth="1"/>
    <col min="534" max="534" width="26.69921875" style="61" customWidth="1"/>
    <col min="535" max="538" width="13.69921875" style="61" customWidth="1"/>
    <col min="539" max="543" width="7.69921875" style="61"/>
    <col min="544" max="547" width="0" style="61" hidden="1" customWidth="1"/>
    <col min="548" max="768" width="7.69921875" style="61"/>
    <col min="769" max="769" width="2.5" style="61" customWidth="1"/>
    <col min="770" max="770" width="6.69921875" style="61" customWidth="1"/>
    <col min="771" max="778" width="3.19921875" style="61" customWidth="1"/>
    <col min="779" max="781" width="4.69921875" style="61" customWidth="1"/>
    <col min="782" max="782" width="4.296875" style="61" customWidth="1"/>
    <col min="783" max="783" width="4.69921875" style="61" customWidth="1"/>
    <col min="784" max="787" width="4.296875" style="61" customWidth="1"/>
    <col min="788" max="788" width="3.19921875" style="61" customWidth="1"/>
    <col min="789" max="789" width="13.69921875" style="61" customWidth="1"/>
    <col min="790" max="790" width="26.69921875" style="61" customWidth="1"/>
    <col min="791" max="794" width="13.69921875" style="61" customWidth="1"/>
    <col min="795" max="799" width="7.69921875" style="61"/>
    <col min="800" max="803" width="0" style="61" hidden="1" customWidth="1"/>
    <col min="804" max="1024" width="7.69921875" style="61"/>
    <col min="1025" max="1025" width="2.5" style="61" customWidth="1"/>
    <col min="1026" max="1026" width="6.69921875" style="61" customWidth="1"/>
    <col min="1027" max="1034" width="3.19921875" style="61" customWidth="1"/>
    <col min="1035" max="1037" width="4.69921875" style="61" customWidth="1"/>
    <col min="1038" max="1038" width="4.296875" style="61" customWidth="1"/>
    <col min="1039" max="1039" width="4.69921875" style="61" customWidth="1"/>
    <col min="1040" max="1043" width="4.296875" style="61" customWidth="1"/>
    <col min="1044" max="1044" width="3.19921875" style="61" customWidth="1"/>
    <col min="1045" max="1045" width="13.69921875" style="61" customWidth="1"/>
    <col min="1046" max="1046" width="26.69921875" style="61" customWidth="1"/>
    <col min="1047" max="1050" width="13.69921875" style="61" customWidth="1"/>
    <col min="1051" max="1055" width="7.69921875" style="61"/>
    <col min="1056" max="1059" width="0" style="61" hidden="1" customWidth="1"/>
    <col min="1060" max="1280" width="7.69921875" style="61"/>
    <col min="1281" max="1281" width="2.5" style="61" customWidth="1"/>
    <col min="1282" max="1282" width="6.69921875" style="61" customWidth="1"/>
    <col min="1283" max="1290" width="3.19921875" style="61" customWidth="1"/>
    <col min="1291" max="1293" width="4.69921875" style="61" customWidth="1"/>
    <col min="1294" max="1294" width="4.296875" style="61" customWidth="1"/>
    <col min="1295" max="1295" width="4.69921875" style="61" customWidth="1"/>
    <col min="1296" max="1299" width="4.296875" style="61" customWidth="1"/>
    <col min="1300" max="1300" width="3.19921875" style="61" customWidth="1"/>
    <col min="1301" max="1301" width="13.69921875" style="61" customWidth="1"/>
    <col min="1302" max="1302" width="26.69921875" style="61" customWidth="1"/>
    <col min="1303" max="1306" width="13.69921875" style="61" customWidth="1"/>
    <col min="1307" max="1311" width="7.69921875" style="61"/>
    <col min="1312" max="1315" width="0" style="61" hidden="1" customWidth="1"/>
    <col min="1316" max="1536" width="7.69921875" style="61"/>
    <col min="1537" max="1537" width="2.5" style="61" customWidth="1"/>
    <col min="1538" max="1538" width="6.69921875" style="61" customWidth="1"/>
    <col min="1539" max="1546" width="3.19921875" style="61" customWidth="1"/>
    <col min="1547" max="1549" width="4.69921875" style="61" customWidth="1"/>
    <col min="1550" max="1550" width="4.296875" style="61" customWidth="1"/>
    <col min="1551" max="1551" width="4.69921875" style="61" customWidth="1"/>
    <col min="1552" max="1555" width="4.296875" style="61" customWidth="1"/>
    <col min="1556" max="1556" width="3.19921875" style="61" customWidth="1"/>
    <col min="1557" max="1557" width="13.69921875" style="61" customWidth="1"/>
    <col min="1558" max="1558" width="26.69921875" style="61" customWidth="1"/>
    <col min="1559" max="1562" width="13.69921875" style="61" customWidth="1"/>
    <col min="1563" max="1567" width="7.69921875" style="61"/>
    <col min="1568" max="1571" width="0" style="61" hidden="1" customWidth="1"/>
    <col min="1572" max="1792" width="7.69921875" style="61"/>
    <col min="1793" max="1793" width="2.5" style="61" customWidth="1"/>
    <col min="1794" max="1794" width="6.69921875" style="61" customWidth="1"/>
    <col min="1795" max="1802" width="3.19921875" style="61" customWidth="1"/>
    <col min="1803" max="1805" width="4.69921875" style="61" customWidth="1"/>
    <col min="1806" max="1806" width="4.296875" style="61" customWidth="1"/>
    <col min="1807" max="1807" width="4.69921875" style="61" customWidth="1"/>
    <col min="1808" max="1811" width="4.296875" style="61" customWidth="1"/>
    <col min="1812" max="1812" width="3.19921875" style="61" customWidth="1"/>
    <col min="1813" max="1813" width="13.69921875" style="61" customWidth="1"/>
    <col min="1814" max="1814" width="26.69921875" style="61" customWidth="1"/>
    <col min="1815" max="1818" width="13.69921875" style="61" customWidth="1"/>
    <col min="1819" max="1823" width="7.69921875" style="61"/>
    <col min="1824" max="1827" width="0" style="61" hidden="1" customWidth="1"/>
    <col min="1828" max="2048" width="7.69921875" style="61"/>
    <col min="2049" max="2049" width="2.5" style="61" customWidth="1"/>
    <col min="2050" max="2050" width="6.69921875" style="61" customWidth="1"/>
    <col min="2051" max="2058" width="3.19921875" style="61" customWidth="1"/>
    <col min="2059" max="2061" width="4.69921875" style="61" customWidth="1"/>
    <col min="2062" max="2062" width="4.296875" style="61" customWidth="1"/>
    <col min="2063" max="2063" width="4.69921875" style="61" customWidth="1"/>
    <col min="2064" max="2067" width="4.296875" style="61" customWidth="1"/>
    <col min="2068" max="2068" width="3.19921875" style="61" customWidth="1"/>
    <col min="2069" max="2069" width="13.69921875" style="61" customWidth="1"/>
    <col min="2070" max="2070" width="26.69921875" style="61" customWidth="1"/>
    <col min="2071" max="2074" width="13.69921875" style="61" customWidth="1"/>
    <col min="2075" max="2079" width="7.69921875" style="61"/>
    <col min="2080" max="2083" width="0" style="61" hidden="1" customWidth="1"/>
    <col min="2084" max="2304" width="7.69921875" style="61"/>
    <col min="2305" max="2305" width="2.5" style="61" customWidth="1"/>
    <col min="2306" max="2306" width="6.69921875" style="61" customWidth="1"/>
    <col min="2307" max="2314" width="3.19921875" style="61" customWidth="1"/>
    <col min="2315" max="2317" width="4.69921875" style="61" customWidth="1"/>
    <col min="2318" max="2318" width="4.296875" style="61" customWidth="1"/>
    <col min="2319" max="2319" width="4.69921875" style="61" customWidth="1"/>
    <col min="2320" max="2323" width="4.296875" style="61" customWidth="1"/>
    <col min="2324" max="2324" width="3.19921875" style="61" customWidth="1"/>
    <col min="2325" max="2325" width="13.69921875" style="61" customWidth="1"/>
    <col min="2326" max="2326" width="26.69921875" style="61" customWidth="1"/>
    <col min="2327" max="2330" width="13.69921875" style="61" customWidth="1"/>
    <col min="2331" max="2335" width="7.69921875" style="61"/>
    <col min="2336" max="2339" width="0" style="61" hidden="1" customWidth="1"/>
    <col min="2340" max="2560" width="7.69921875" style="61"/>
    <col min="2561" max="2561" width="2.5" style="61" customWidth="1"/>
    <col min="2562" max="2562" width="6.69921875" style="61" customWidth="1"/>
    <col min="2563" max="2570" width="3.19921875" style="61" customWidth="1"/>
    <col min="2571" max="2573" width="4.69921875" style="61" customWidth="1"/>
    <col min="2574" max="2574" width="4.296875" style="61" customWidth="1"/>
    <col min="2575" max="2575" width="4.69921875" style="61" customWidth="1"/>
    <col min="2576" max="2579" width="4.296875" style="61" customWidth="1"/>
    <col min="2580" max="2580" width="3.19921875" style="61" customWidth="1"/>
    <col min="2581" max="2581" width="13.69921875" style="61" customWidth="1"/>
    <col min="2582" max="2582" width="26.69921875" style="61" customWidth="1"/>
    <col min="2583" max="2586" width="13.69921875" style="61" customWidth="1"/>
    <col min="2587" max="2591" width="7.69921875" style="61"/>
    <col min="2592" max="2595" width="0" style="61" hidden="1" customWidth="1"/>
    <col min="2596" max="2816" width="7.69921875" style="61"/>
    <col min="2817" max="2817" width="2.5" style="61" customWidth="1"/>
    <col min="2818" max="2818" width="6.69921875" style="61" customWidth="1"/>
    <col min="2819" max="2826" width="3.19921875" style="61" customWidth="1"/>
    <col min="2827" max="2829" width="4.69921875" style="61" customWidth="1"/>
    <col min="2830" max="2830" width="4.296875" style="61" customWidth="1"/>
    <col min="2831" max="2831" width="4.69921875" style="61" customWidth="1"/>
    <col min="2832" max="2835" width="4.296875" style="61" customWidth="1"/>
    <col min="2836" max="2836" width="3.19921875" style="61" customWidth="1"/>
    <col min="2837" max="2837" width="13.69921875" style="61" customWidth="1"/>
    <col min="2838" max="2838" width="26.69921875" style="61" customWidth="1"/>
    <col min="2839" max="2842" width="13.69921875" style="61" customWidth="1"/>
    <col min="2843" max="2847" width="7.69921875" style="61"/>
    <col min="2848" max="2851" width="0" style="61" hidden="1" customWidth="1"/>
    <col min="2852" max="3072" width="7.69921875" style="61"/>
    <col min="3073" max="3073" width="2.5" style="61" customWidth="1"/>
    <col min="3074" max="3074" width="6.69921875" style="61" customWidth="1"/>
    <col min="3075" max="3082" width="3.19921875" style="61" customWidth="1"/>
    <col min="3083" max="3085" width="4.69921875" style="61" customWidth="1"/>
    <col min="3086" max="3086" width="4.296875" style="61" customWidth="1"/>
    <col min="3087" max="3087" width="4.69921875" style="61" customWidth="1"/>
    <col min="3088" max="3091" width="4.296875" style="61" customWidth="1"/>
    <col min="3092" max="3092" width="3.19921875" style="61" customWidth="1"/>
    <col min="3093" max="3093" width="13.69921875" style="61" customWidth="1"/>
    <col min="3094" max="3094" width="26.69921875" style="61" customWidth="1"/>
    <col min="3095" max="3098" width="13.69921875" style="61" customWidth="1"/>
    <col min="3099" max="3103" width="7.69921875" style="61"/>
    <col min="3104" max="3107" width="0" style="61" hidden="1" customWidth="1"/>
    <col min="3108" max="3328" width="7.69921875" style="61"/>
    <col min="3329" max="3329" width="2.5" style="61" customWidth="1"/>
    <col min="3330" max="3330" width="6.69921875" style="61" customWidth="1"/>
    <col min="3331" max="3338" width="3.19921875" style="61" customWidth="1"/>
    <col min="3339" max="3341" width="4.69921875" style="61" customWidth="1"/>
    <col min="3342" max="3342" width="4.296875" style="61" customWidth="1"/>
    <col min="3343" max="3343" width="4.69921875" style="61" customWidth="1"/>
    <col min="3344" max="3347" width="4.296875" style="61" customWidth="1"/>
    <col min="3348" max="3348" width="3.19921875" style="61" customWidth="1"/>
    <col min="3349" max="3349" width="13.69921875" style="61" customWidth="1"/>
    <col min="3350" max="3350" width="26.69921875" style="61" customWidth="1"/>
    <col min="3351" max="3354" width="13.69921875" style="61" customWidth="1"/>
    <col min="3355" max="3359" width="7.69921875" style="61"/>
    <col min="3360" max="3363" width="0" style="61" hidden="1" customWidth="1"/>
    <col min="3364" max="3584" width="7.69921875" style="61"/>
    <col min="3585" max="3585" width="2.5" style="61" customWidth="1"/>
    <col min="3586" max="3586" width="6.69921875" style="61" customWidth="1"/>
    <col min="3587" max="3594" width="3.19921875" style="61" customWidth="1"/>
    <col min="3595" max="3597" width="4.69921875" style="61" customWidth="1"/>
    <col min="3598" max="3598" width="4.296875" style="61" customWidth="1"/>
    <col min="3599" max="3599" width="4.69921875" style="61" customWidth="1"/>
    <col min="3600" max="3603" width="4.296875" style="61" customWidth="1"/>
    <col min="3604" max="3604" width="3.19921875" style="61" customWidth="1"/>
    <col min="3605" max="3605" width="13.69921875" style="61" customWidth="1"/>
    <col min="3606" max="3606" width="26.69921875" style="61" customWidth="1"/>
    <col min="3607" max="3610" width="13.69921875" style="61" customWidth="1"/>
    <col min="3611" max="3615" width="7.69921875" style="61"/>
    <col min="3616" max="3619" width="0" style="61" hidden="1" customWidth="1"/>
    <col min="3620" max="3840" width="7.69921875" style="61"/>
    <col min="3841" max="3841" width="2.5" style="61" customWidth="1"/>
    <col min="3842" max="3842" width="6.69921875" style="61" customWidth="1"/>
    <col min="3843" max="3850" width="3.19921875" style="61" customWidth="1"/>
    <col min="3851" max="3853" width="4.69921875" style="61" customWidth="1"/>
    <col min="3854" max="3854" width="4.296875" style="61" customWidth="1"/>
    <col min="3855" max="3855" width="4.69921875" style="61" customWidth="1"/>
    <col min="3856" max="3859" width="4.296875" style="61" customWidth="1"/>
    <col min="3860" max="3860" width="3.19921875" style="61" customWidth="1"/>
    <col min="3861" max="3861" width="13.69921875" style="61" customWidth="1"/>
    <col min="3862" max="3862" width="26.69921875" style="61" customWidth="1"/>
    <col min="3863" max="3866" width="13.69921875" style="61" customWidth="1"/>
    <col min="3867" max="3871" width="7.69921875" style="61"/>
    <col min="3872" max="3875" width="0" style="61" hidden="1" customWidth="1"/>
    <col min="3876" max="4096" width="7.69921875" style="61"/>
    <col min="4097" max="4097" width="2.5" style="61" customWidth="1"/>
    <col min="4098" max="4098" width="6.69921875" style="61" customWidth="1"/>
    <col min="4099" max="4106" width="3.19921875" style="61" customWidth="1"/>
    <col min="4107" max="4109" width="4.69921875" style="61" customWidth="1"/>
    <col min="4110" max="4110" width="4.296875" style="61" customWidth="1"/>
    <col min="4111" max="4111" width="4.69921875" style="61" customWidth="1"/>
    <col min="4112" max="4115" width="4.296875" style="61" customWidth="1"/>
    <col min="4116" max="4116" width="3.19921875" style="61" customWidth="1"/>
    <col min="4117" max="4117" width="13.69921875" style="61" customWidth="1"/>
    <col min="4118" max="4118" width="26.69921875" style="61" customWidth="1"/>
    <col min="4119" max="4122" width="13.69921875" style="61" customWidth="1"/>
    <col min="4123" max="4127" width="7.69921875" style="61"/>
    <col min="4128" max="4131" width="0" style="61" hidden="1" customWidth="1"/>
    <col min="4132" max="4352" width="7.69921875" style="61"/>
    <col min="4353" max="4353" width="2.5" style="61" customWidth="1"/>
    <col min="4354" max="4354" width="6.69921875" style="61" customWidth="1"/>
    <col min="4355" max="4362" width="3.19921875" style="61" customWidth="1"/>
    <col min="4363" max="4365" width="4.69921875" style="61" customWidth="1"/>
    <col min="4366" max="4366" width="4.296875" style="61" customWidth="1"/>
    <col min="4367" max="4367" width="4.69921875" style="61" customWidth="1"/>
    <col min="4368" max="4371" width="4.296875" style="61" customWidth="1"/>
    <col min="4372" max="4372" width="3.19921875" style="61" customWidth="1"/>
    <col min="4373" max="4373" width="13.69921875" style="61" customWidth="1"/>
    <col min="4374" max="4374" width="26.69921875" style="61" customWidth="1"/>
    <col min="4375" max="4378" width="13.69921875" style="61" customWidth="1"/>
    <col min="4379" max="4383" width="7.69921875" style="61"/>
    <col min="4384" max="4387" width="0" style="61" hidden="1" customWidth="1"/>
    <col min="4388" max="4608" width="7.69921875" style="61"/>
    <col min="4609" max="4609" width="2.5" style="61" customWidth="1"/>
    <col min="4610" max="4610" width="6.69921875" style="61" customWidth="1"/>
    <col min="4611" max="4618" width="3.19921875" style="61" customWidth="1"/>
    <col min="4619" max="4621" width="4.69921875" style="61" customWidth="1"/>
    <col min="4622" max="4622" width="4.296875" style="61" customWidth="1"/>
    <col min="4623" max="4623" width="4.69921875" style="61" customWidth="1"/>
    <col min="4624" max="4627" width="4.296875" style="61" customWidth="1"/>
    <col min="4628" max="4628" width="3.19921875" style="61" customWidth="1"/>
    <col min="4629" max="4629" width="13.69921875" style="61" customWidth="1"/>
    <col min="4630" max="4630" width="26.69921875" style="61" customWidth="1"/>
    <col min="4631" max="4634" width="13.69921875" style="61" customWidth="1"/>
    <col min="4635" max="4639" width="7.69921875" style="61"/>
    <col min="4640" max="4643" width="0" style="61" hidden="1" customWidth="1"/>
    <col min="4644" max="4864" width="7.69921875" style="61"/>
    <col min="4865" max="4865" width="2.5" style="61" customWidth="1"/>
    <col min="4866" max="4866" width="6.69921875" style="61" customWidth="1"/>
    <col min="4867" max="4874" width="3.19921875" style="61" customWidth="1"/>
    <col min="4875" max="4877" width="4.69921875" style="61" customWidth="1"/>
    <col min="4878" max="4878" width="4.296875" style="61" customWidth="1"/>
    <col min="4879" max="4879" width="4.69921875" style="61" customWidth="1"/>
    <col min="4880" max="4883" width="4.296875" style="61" customWidth="1"/>
    <col min="4884" max="4884" width="3.19921875" style="61" customWidth="1"/>
    <col min="4885" max="4885" width="13.69921875" style="61" customWidth="1"/>
    <col min="4886" max="4886" width="26.69921875" style="61" customWidth="1"/>
    <col min="4887" max="4890" width="13.69921875" style="61" customWidth="1"/>
    <col min="4891" max="4895" width="7.69921875" style="61"/>
    <col min="4896" max="4899" width="0" style="61" hidden="1" customWidth="1"/>
    <col min="4900" max="5120" width="7.69921875" style="61"/>
    <col min="5121" max="5121" width="2.5" style="61" customWidth="1"/>
    <col min="5122" max="5122" width="6.69921875" style="61" customWidth="1"/>
    <col min="5123" max="5130" width="3.19921875" style="61" customWidth="1"/>
    <col min="5131" max="5133" width="4.69921875" style="61" customWidth="1"/>
    <col min="5134" max="5134" width="4.296875" style="61" customWidth="1"/>
    <col min="5135" max="5135" width="4.69921875" style="61" customWidth="1"/>
    <col min="5136" max="5139" width="4.296875" style="61" customWidth="1"/>
    <col min="5140" max="5140" width="3.19921875" style="61" customWidth="1"/>
    <col min="5141" max="5141" width="13.69921875" style="61" customWidth="1"/>
    <col min="5142" max="5142" width="26.69921875" style="61" customWidth="1"/>
    <col min="5143" max="5146" width="13.69921875" style="61" customWidth="1"/>
    <col min="5147" max="5151" width="7.69921875" style="61"/>
    <col min="5152" max="5155" width="0" style="61" hidden="1" customWidth="1"/>
    <col min="5156" max="5376" width="7.69921875" style="61"/>
    <col min="5377" max="5377" width="2.5" style="61" customWidth="1"/>
    <col min="5378" max="5378" width="6.69921875" style="61" customWidth="1"/>
    <col min="5379" max="5386" width="3.19921875" style="61" customWidth="1"/>
    <col min="5387" max="5389" width="4.69921875" style="61" customWidth="1"/>
    <col min="5390" max="5390" width="4.296875" style="61" customWidth="1"/>
    <col min="5391" max="5391" width="4.69921875" style="61" customWidth="1"/>
    <col min="5392" max="5395" width="4.296875" style="61" customWidth="1"/>
    <col min="5396" max="5396" width="3.19921875" style="61" customWidth="1"/>
    <col min="5397" max="5397" width="13.69921875" style="61" customWidth="1"/>
    <col min="5398" max="5398" width="26.69921875" style="61" customWidth="1"/>
    <col min="5399" max="5402" width="13.69921875" style="61" customWidth="1"/>
    <col min="5403" max="5407" width="7.69921875" style="61"/>
    <col min="5408" max="5411" width="0" style="61" hidden="1" customWidth="1"/>
    <col min="5412" max="5632" width="7.69921875" style="61"/>
    <col min="5633" max="5633" width="2.5" style="61" customWidth="1"/>
    <col min="5634" max="5634" width="6.69921875" style="61" customWidth="1"/>
    <col min="5635" max="5642" width="3.19921875" style="61" customWidth="1"/>
    <col min="5643" max="5645" width="4.69921875" style="61" customWidth="1"/>
    <col min="5646" max="5646" width="4.296875" style="61" customWidth="1"/>
    <col min="5647" max="5647" width="4.69921875" style="61" customWidth="1"/>
    <col min="5648" max="5651" width="4.296875" style="61" customWidth="1"/>
    <col min="5652" max="5652" width="3.19921875" style="61" customWidth="1"/>
    <col min="5653" max="5653" width="13.69921875" style="61" customWidth="1"/>
    <col min="5654" max="5654" width="26.69921875" style="61" customWidth="1"/>
    <col min="5655" max="5658" width="13.69921875" style="61" customWidth="1"/>
    <col min="5659" max="5663" width="7.69921875" style="61"/>
    <col min="5664" max="5667" width="0" style="61" hidden="1" customWidth="1"/>
    <col min="5668" max="5888" width="7.69921875" style="61"/>
    <col min="5889" max="5889" width="2.5" style="61" customWidth="1"/>
    <col min="5890" max="5890" width="6.69921875" style="61" customWidth="1"/>
    <col min="5891" max="5898" width="3.19921875" style="61" customWidth="1"/>
    <col min="5899" max="5901" width="4.69921875" style="61" customWidth="1"/>
    <col min="5902" max="5902" width="4.296875" style="61" customWidth="1"/>
    <col min="5903" max="5903" width="4.69921875" style="61" customWidth="1"/>
    <col min="5904" max="5907" width="4.296875" style="61" customWidth="1"/>
    <col min="5908" max="5908" width="3.19921875" style="61" customWidth="1"/>
    <col min="5909" max="5909" width="13.69921875" style="61" customWidth="1"/>
    <col min="5910" max="5910" width="26.69921875" style="61" customWidth="1"/>
    <col min="5911" max="5914" width="13.69921875" style="61" customWidth="1"/>
    <col min="5915" max="5919" width="7.69921875" style="61"/>
    <col min="5920" max="5923" width="0" style="61" hidden="1" customWidth="1"/>
    <col min="5924" max="6144" width="7.69921875" style="61"/>
    <col min="6145" max="6145" width="2.5" style="61" customWidth="1"/>
    <col min="6146" max="6146" width="6.69921875" style="61" customWidth="1"/>
    <col min="6147" max="6154" width="3.19921875" style="61" customWidth="1"/>
    <col min="6155" max="6157" width="4.69921875" style="61" customWidth="1"/>
    <col min="6158" max="6158" width="4.296875" style="61" customWidth="1"/>
    <col min="6159" max="6159" width="4.69921875" style="61" customWidth="1"/>
    <col min="6160" max="6163" width="4.296875" style="61" customWidth="1"/>
    <col min="6164" max="6164" width="3.19921875" style="61" customWidth="1"/>
    <col min="6165" max="6165" width="13.69921875" style="61" customWidth="1"/>
    <col min="6166" max="6166" width="26.69921875" style="61" customWidth="1"/>
    <col min="6167" max="6170" width="13.69921875" style="61" customWidth="1"/>
    <col min="6171" max="6175" width="7.69921875" style="61"/>
    <col min="6176" max="6179" width="0" style="61" hidden="1" customWidth="1"/>
    <col min="6180" max="6400" width="7.69921875" style="61"/>
    <col min="6401" max="6401" width="2.5" style="61" customWidth="1"/>
    <col min="6402" max="6402" width="6.69921875" style="61" customWidth="1"/>
    <col min="6403" max="6410" width="3.19921875" style="61" customWidth="1"/>
    <col min="6411" max="6413" width="4.69921875" style="61" customWidth="1"/>
    <col min="6414" max="6414" width="4.296875" style="61" customWidth="1"/>
    <col min="6415" max="6415" width="4.69921875" style="61" customWidth="1"/>
    <col min="6416" max="6419" width="4.296875" style="61" customWidth="1"/>
    <col min="6420" max="6420" width="3.19921875" style="61" customWidth="1"/>
    <col min="6421" max="6421" width="13.69921875" style="61" customWidth="1"/>
    <col min="6422" max="6422" width="26.69921875" style="61" customWidth="1"/>
    <col min="6423" max="6426" width="13.69921875" style="61" customWidth="1"/>
    <col min="6427" max="6431" width="7.69921875" style="61"/>
    <col min="6432" max="6435" width="0" style="61" hidden="1" customWidth="1"/>
    <col min="6436" max="6656" width="7.69921875" style="61"/>
    <col min="6657" max="6657" width="2.5" style="61" customWidth="1"/>
    <col min="6658" max="6658" width="6.69921875" style="61" customWidth="1"/>
    <col min="6659" max="6666" width="3.19921875" style="61" customWidth="1"/>
    <col min="6667" max="6669" width="4.69921875" style="61" customWidth="1"/>
    <col min="6670" max="6670" width="4.296875" style="61" customWidth="1"/>
    <col min="6671" max="6671" width="4.69921875" style="61" customWidth="1"/>
    <col min="6672" max="6675" width="4.296875" style="61" customWidth="1"/>
    <col min="6676" max="6676" width="3.19921875" style="61" customWidth="1"/>
    <col min="6677" max="6677" width="13.69921875" style="61" customWidth="1"/>
    <col min="6678" max="6678" width="26.69921875" style="61" customWidth="1"/>
    <col min="6679" max="6682" width="13.69921875" style="61" customWidth="1"/>
    <col min="6683" max="6687" width="7.69921875" style="61"/>
    <col min="6688" max="6691" width="0" style="61" hidden="1" customWidth="1"/>
    <col min="6692" max="6912" width="7.69921875" style="61"/>
    <col min="6913" max="6913" width="2.5" style="61" customWidth="1"/>
    <col min="6914" max="6914" width="6.69921875" style="61" customWidth="1"/>
    <col min="6915" max="6922" width="3.19921875" style="61" customWidth="1"/>
    <col min="6923" max="6925" width="4.69921875" style="61" customWidth="1"/>
    <col min="6926" max="6926" width="4.296875" style="61" customWidth="1"/>
    <col min="6927" max="6927" width="4.69921875" style="61" customWidth="1"/>
    <col min="6928" max="6931" width="4.296875" style="61" customWidth="1"/>
    <col min="6932" max="6932" width="3.19921875" style="61" customWidth="1"/>
    <col min="6933" max="6933" width="13.69921875" style="61" customWidth="1"/>
    <col min="6934" max="6934" width="26.69921875" style="61" customWidth="1"/>
    <col min="6935" max="6938" width="13.69921875" style="61" customWidth="1"/>
    <col min="6939" max="6943" width="7.69921875" style="61"/>
    <col min="6944" max="6947" width="0" style="61" hidden="1" customWidth="1"/>
    <col min="6948" max="7168" width="7.69921875" style="61"/>
    <col min="7169" max="7169" width="2.5" style="61" customWidth="1"/>
    <col min="7170" max="7170" width="6.69921875" style="61" customWidth="1"/>
    <col min="7171" max="7178" width="3.19921875" style="61" customWidth="1"/>
    <col min="7179" max="7181" width="4.69921875" style="61" customWidth="1"/>
    <col min="7182" max="7182" width="4.296875" style="61" customWidth="1"/>
    <col min="7183" max="7183" width="4.69921875" style="61" customWidth="1"/>
    <col min="7184" max="7187" width="4.296875" style="61" customWidth="1"/>
    <col min="7188" max="7188" width="3.19921875" style="61" customWidth="1"/>
    <col min="7189" max="7189" width="13.69921875" style="61" customWidth="1"/>
    <col min="7190" max="7190" width="26.69921875" style="61" customWidth="1"/>
    <col min="7191" max="7194" width="13.69921875" style="61" customWidth="1"/>
    <col min="7195" max="7199" width="7.69921875" style="61"/>
    <col min="7200" max="7203" width="0" style="61" hidden="1" customWidth="1"/>
    <col min="7204" max="7424" width="7.69921875" style="61"/>
    <col min="7425" max="7425" width="2.5" style="61" customWidth="1"/>
    <col min="7426" max="7426" width="6.69921875" style="61" customWidth="1"/>
    <col min="7427" max="7434" width="3.19921875" style="61" customWidth="1"/>
    <col min="7435" max="7437" width="4.69921875" style="61" customWidth="1"/>
    <col min="7438" max="7438" width="4.296875" style="61" customWidth="1"/>
    <col min="7439" max="7439" width="4.69921875" style="61" customWidth="1"/>
    <col min="7440" max="7443" width="4.296875" style="61" customWidth="1"/>
    <col min="7444" max="7444" width="3.19921875" style="61" customWidth="1"/>
    <col min="7445" max="7445" width="13.69921875" style="61" customWidth="1"/>
    <col min="7446" max="7446" width="26.69921875" style="61" customWidth="1"/>
    <col min="7447" max="7450" width="13.69921875" style="61" customWidth="1"/>
    <col min="7451" max="7455" width="7.69921875" style="61"/>
    <col min="7456" max="7459" width="0" style="61" hidden="1" customWidth="1"/>
    <col min="7460" max="7680" width="7.69921875" style="61"/>
    <col min="7681" max="7681" width="2.5" style="61" customWidth="1"/>
    <col min="7682" max="7682" width="6.69921875" style="61" customWidth="1"/>
    <col min="7683" max="7690" width="3.19921875" style="61" customWidth="1"/>
    <col min="7691" max="7693" width="4.69921875" style="61" customWidth="1"/>
    <col min="7694" max="7694" width="4.296875" style="61" customWidth="1"/>
    <col min="7695" max="7695" width="4.69921875" style="61" customWidth="1"/>
    <col min="7696" max="7699" width="4.296875" style="61" customWidth="1"/>
    <col min="7700" max="7700" width="3.19921875" style="61" customWidth="1"/>
    <col min="7701" max="7701" width="13.69921875" style="61" customWidth="1"/>
    <col min="7702" max="7702" width="26.69921875" style="61" customWidth="1"/>
    <col min="7703" max="7706" width="13.69921875" style="61" customWidth="1"/>
    <col min="7707" max="7711" width="7.69921875" style="61"/>
    <col min="7712" max="7715" width="0" style="61" hidden="1" customWidth="1"/>
    <col min="7716" max="7936" width="7.69921875" style="61"/>
    <col min="7937" max="7937" width="2.5" style="61" customWidth="1"/>
    <col min="7938" max="7938" width="6.69921875" style="61" customWidth="1"/>
    <col min="7939" max="7946" width="3.19921875" style="61" customWidth="1"/>
    <col min="7947" max="7949" width="4.69921875" style="61" customWidth="1"/>
    <col min="7950" max="7950" width="4.296875" style="61" customWidth="1"/>
    <col min="7951" max="7951" width="4.69921875" style="61" customWidth="1"/>
    <col min="7952" max="7955" width="4.296875" style="61" customWidth="1"/>
    <col min="7956" max="7956" width="3.19921875" style="61" customWidth="1"/>
    <col min="7957" max="7957" width="13.69921875" style="61" customWidth="1"/>
    <col min="7958" max="7958" width="26.69921875" style="61" customWidth="1"/>
    <col min="7959" max="7962" width="13.69921875" style="61" customWidth="1"/>
    <col min="7963" max="7967" width="7.69921875" style="61"/>
    <col min="7968" max="7971" width="0" style="61" hidden="1" customWidth="1"/>
    <col min="7972" max="8192" width="7.69921875" style="61"/>
    <col min="8193" max="8193" width="2.5" style="61" customWidth="1"/>
    <col min="8194" max="8194" width="6.69921875" style="61" customWidth="1"/>
    <col min="8195" max="8202" width="3.19921875" style="61" customWidth="1"/>
    <col min="8203" max="8205" width="4.69921875" style="61" customWidth="1"/>
    <col min="8206" max="8206" width="4.296875" style="61" customWidth="1"/>
    <col min="8207" max="8207" width="4.69921875" style="61" customWidth="1"/>
    <col min="8208" max="8211" width="4.296875" style="61" customWidth="1"/>
    <col min="8212" max="8212" width="3.19921875" style="61" customWidth="1"/>
    <col min="8213" max="8213" width="13.69921875" style="61" customWidth="1"/>
    <col min="8214" max="8214" width="26.69921875" style="61" customWidth="1"/>
    <col min="8215" max="8218" width="13.69921875" style="61" customWidth="1"/>
    <col min="8219" max="8223" width="7.69921875" style="61"/>
    <col min="8224" max="8227" width="0" style="61" hidden="1" customWidth="1"/>
    <col min="8228" max="8448" width="7.69921875" style="61"/>
    <col min="8449" max="8449" width="2.5" style="61" customWidth="1"/>
    <col min="8450" max="8450" width="6.69921875" style="61" customWidth="1"/>
    <col min="8451" max="8458" width="3.19921875" style="61" customWidth="1"/>
    <col min="8459" max="8461" width="4.69921875" style="61" customWidth="1"/>
    <col min="8462" max="8462" width="4.296875" style="61" customWidth="1"/>
    <col min="8463" max="8463" width="4.69921875" style="61" customWidth="1"/>
    <col min="8464" max="8467" width="4.296875" style="61" customWidth="1"/>
    <col min="8468" max="8468" width="3.19921875" style="61" customWidth="1"/>
    <col min="8469" max="8469" width="13.69921875" style="61" customWidth="1"/>
    <col min="8470" max="8470" width="26.69921875" style="61" customWidth="1"/>
    <col min="8471" max="8474" width="13.69921875" style="61" customWidth="1"/>
    <col min="8475" max="8479" width="7.69921875" style="61"/>
    <col min="8480" max="8483" width="0" style="61" hidden="1" customWidth="1"/>
    <col min="8484" max="8704" width="7.69921875" style="61"/>
    <col min="8705" max="8705" width="2.5" style="61" customWidth="1"/>
    <col min="8706" max="8706" width="6.69921875" style="61" customWidth="1"/>
    <col min="8707" max="8714" width="3.19921875" style="61" customWidth="1"/>
    <col min="8715" max="8717" width="4.69921875" style="61" customWidth="1"/>
    <col min="8718" max="8718" width="4.296875" style="61" customWidth="1"/>
    <col min="8719" max="8719" width="4.69921875" style="61" customWidth="1"/>
    <col min="8720" max="8723" width="4.296875" style="61" customWidth="1"/>
    <col min="8724" max="8724" width="3.19921875" style="61" customWidth="1"/>
    <col min="8725" max="8725" width="13.69921875" style="61" customWidth="1"/>
    <col min="8726" max="8726" width="26.69921875" style="61" customWidth="1"/>
    <col min="8727" max="8730" width="13.69921875" style="61" customWidth="1"/>
    <col min="8731" max="8735" width="7.69921875" style="61"/>
    <col min="8736" max="8739" width="0" style="61" hidden="1" customWidth="1"/>
    <col min="8740" max="8960" width="7.69921875" style="61"/>
    <col min="8961" max="8961" width="2.5" style="61" customWidth="1"/>
    <col min="8962" max="8962" width="6.69921875" style="61" customWidth="1"/>
    <col min="8963" max="8970" width="3.19921875" style="61" customWidth="1"/>
    <col min="8971" max="8973" width="4.69921875" style="61" customWidth="1"/>
    <col min="8974" max="8974" width="4.296875" style="61" customWidth="1"/>
    <col min="8975" max="8975" width="4.69921875" style="61" customWidth="1"/>
    <col min="8976" max="8979" width="4.296875" style="61" customWidth="1"/>
    <col min="8980" max="8980" width="3.19921875" style="61" customWidth="1"/>
    <col min="8981" max="8981" width="13.69921875" style="61" customWidth="1"/>
    <col min="8982" max="8982" width="26.69921875" style="61" customWidth="1"/>
    <col min="8983" max="8986" width="13.69921875" style="61" customWidth="1"/>
    <col min="8987" max="8991" width="7.69921875" style="61"/>
    <col min="8992" max="8995" width="0" style="61" hidden="1" customWidth="1"/>
    <col min="8996" max="9216" width="7.69921875" style="61"/>
    <col min="9217" max="9217" width="2.5" style="61" customWidth="1"/>
    <col min="9218" max="9218" width="6.69921875" style="61" customWidth="1"/>
    <col min="9219" max="9226" width="3.19921875" style="61" customWidth="1"/>
    <col min="9227" max="9229" width="4.69921875" style="61" customWidth="1"/>
    <col min="9230" max="9230" width="4.296875" style="61" customWidth="1"/>
    <col min="9231" max="9231" width="4.69921875" style="61" customWidth="1"/>
    <col min="9232" max="9235" width="4.296875" style="61" customWidth="1"/>
    <col min="9236" max="9236" width="3.19921875" style="61" customWidth="1"/>
    <col min="9237" max="9237" width="13.69921875" style="61" customWidth="1"/>
    <col min="9238" max="9238" width="26.69921875" style="61" customWidth="1"/>
    <col min="9239" max="9242" width="13.69921875" style="61" customWidth="1"/>
    <col min="9243" max="9247" width="7.69921875" style="61"/>
    <col min="9248" max="9251" width="0" style="61" hidden="1" customWidth="1"/>
    <col min="9252" max="9472" width="7.69921875" style="61"/>
    <col min="9473" max="9473" width="2.5" style="61" customWidth="1"/>
    <col min="9474" max="9474" width="6.69921875" style="61" customWidth="1"/>
    <col min="9475" max="9482" width="3.19921875" style="61" customWidth="1"/>
    <col min="9483" max="9485" width="4.69921875" style="61" customWidth="1"/>
    <col min="9486" max="9486" width="4.296875" style="61" customWidth="1"/>
    <col min="9487" max="9487" width="4.69921875" style="61" customWidth="1"/>
    <col min="9488" max="9491" width="4.296875" style="61" customWidth="1"/>
    <col min="9492" max="9492" width="3.19921875" style="61" customWidth="1"/>
    <col min="9493" max="9493" width="13.69921875" style="61" customWidth="1"/>
    <col min="9494" max="9494" width="26.69921875" style="61" customWidth="1"/>
    <col min="9495" max="9498" width="13.69921875" style="61" customWidth="1"/>
    <col min="9499" max="9503" width="7.69921875" style="61"/>
    <col min="9504" max="9507" width="0" style="61" hidden="1" customWidth="1"/>
    <col min="9508" max="9728" width="7.69921875" style="61"/>
    <col min="9729" max="9729" width="2.5" style="61" customWidth="1"/>
    <col min="9730" max="9730" width="6.69921875" style="61" customWidth="1"/>
    <col min="9731" max="9738" width="3.19921875" style="61" customWidth="1"/>
    <col min="9739" max="9741" width="4.69921875" style="61" customWidth="1"/>
    <col min="9742" max="9742" width="4.296875" style="61" customWidth="1"/>
    <col min="9743" max="9743" width="4.69921875" style="61" customWidth="1"/>
    <col min="9744" max="9747" width="4.296875" style="61" customWidth="1"/>
    <col min="9748" max="9748" width="3.19921875" style="61" customWidth="1"/>
    <col min="9749" max="9749" width="13.69921875" style="61" customWidth="1"/>
    <col min="9750" max="9750" width="26.69921875" style="61" customWidth="1"/>
    <col min="9751" max="9754" width="13.69921875" style="61" customWidth="1"/>
    <col min="9755" max="9759" width="7.69921875" style="61"/>
    <col min="9760" max="9763" width="0" style="61" hidden="1" customWidth="1"/>
    <col min="9764" max="9984" width="7.69921875" style="61"/>
    <col min="9985" max="9985" width="2.5" style="61" customWidth="1"/>
    <col min="9986" max="9986" width="6.69921875" style="61" customWidth="1"/>
    <col min="9987" max="9994" width="3.19921875" style="61" customWidth="1"/>
    <col min="9995" max="9997" width="4.69921875" style="61" customWidth="1"/>
    <col min="9998" max="9998" width="4.296875" style="61" customWidth="1"/>
    <col min="9999" max="9999" width="4.69921875" style="61" customWidth="1"/>
    <col min="10000" max="10003" width="4.296875" style="61" customWidth="1"/>
    <col min="10004" max="10004" width="3.19921875" style="61" customWidth="1"/>
    <col min="10005" max="10005" width="13.69921875" style="61" customWidth="1"/>
    <col min="10006" max="10006" width="26.69921875" style="61" customWidth="1"/>
    <col min="10007" max="10010" width="13.69921875" style="61" customWidth="1"/>
    <col min="10011" max="10015" width="7.69921875" style="61"/>
    <col min="10016" max="10019" width="0" style="61" hidden="1" customWidth="1"/>
    <col min="10020" max="10240" width="7.69921875" style="61"/>
    <col min="10241" max="10241" width="2.5" style="61" customWidth="1"/>
    <col min="10242" max="10242" width="6.69921875" style="61" customWidth="1"/>
    <col min="10243" max="10250" width="3.19921875" style="61" customWidth="1"/>
    <col min="10251" max="10253" width="4.69921875" style="61" customWidth="1"/>
    <col min="10254" max="10254" width="4.296875" style="61" customWidth="1"/>
    <col min="10255" max="10255" width="4.69921875" style="61" customWidth="1"/>
    <col min="10256" max="10259" width="4.296875" style="61" customWidth="1"/>
    <col min="10260" max="10260" width="3.19921875" style="61" customWidth="1"/>
    <col min="10261" max="10261" width="13.69921875" style="61" customWidth="1"/>
    <col min="10262" max="10262" width="26.69921875" style="61" customWidth="1"/>
    <col min="10263" max="10266" width="13.69921875" style="61" customWidth="1"/>
    <col min="10267" max="10271" width="7.69921875" style="61"/>
    <col min="10272" max="10275" width="0" style="61" hidden="1" customWidth="1"/>
    <col min="10276" max="10496" width="7.69921875" style="61"/>
    <col min="10497" max="10497" width="2.5" style="61" customWidth="1"/>
    <col min="10498" max="10498" width="6.69921875" style="61" customWidth="1"/>
    <col min="10499" max="10506" width="3.19921875" style="61" customWidth="1"/>
    <col min="10507" max="10509" width="4.69921875" style="61" customWidth="1"/>
    <col min="10510" max="10510" width="4.296875" style="61" customWidth="1"/>
    <col min="10511" max="10511" width="4.69921875" style="61" customWidth="1"/>
    <col min="10512" max="10515" width="4.296875" style="61" customWidth="1"/>
    <col min="10516" max="10516" width="3.19921875" style="61" customWidth="1"/>
    <col min="10517" max="10517" width="13.69921875" style="61" customWidth="1"/>
    <col min="10518" max="10518" width="26.69921875" style="61" customWidth="1"/>
    <col min="10519" max="10522" width="13.69921875" style="61" customWidth="1"/>
    <col min="10523" max="10527" width="7.69921875" style="61"/>
    <col min="10528" max="10531" width="0" style="61" hidden="1" customWidth="1"/>
    <col min="10532" max="10752" width="7.69921875" style="61"/>
    <col min="10753" max="10753" width="2.5" style="61" customWidth="1"/>
    <col min="10754" max="10754" width="6.69921875" style="61" customWidth="1"/>
    <col min="10755" max="10762" width="3.19921875" style="61" customWidth="1"/>
    <col min="10763" max="10765" width="4.69921875" style="61" customWidth="1"/>
    <col min="10766" max="10766" width="4.296875" style="61" customWidth="1"/>
    <col min="10767" max="10767" width="4.69921875" style="61" customWidth="1"/>
    <col min="10768" max="10771" width="4.296875" style="61" customWidth="1"/>
    <col min="10772" max="10772" width="3.19921875" style="61" customWidth="1"/>
    <col min="10773" max="10773" width="13.69921875" style="61" customWidth="1"/>
    <col min="10774" max="10774" width="26.69921875" style="61" customWidth="1"/>
    <col min="10775" max="10778" width="13.69921875" style="61" customWidth="1"/>
    <col min="10779" max="10783" width="7.69921875" style="61"/>
    <col min="10784" max="10787" width="0" style="61" hidden="1" customWidth="1"/>
    <col min="10788" max="11008" width="7.69921875" style="61"/>
    <col min="11009" max="11009" width="2.5" style="61" customWidth="1"/>
    <col min="11010" max="11010" width="6.69921875" style="61" customWidth="1"/>
    <col min="11011" max="11018" width="3.19921875" style="61" customWidth="1"/>
    <col min="11019" max="11021" width="4.69921875" style="61" customWidth="1"/>
    <col min="11022" max="11022" width="4.296875" style="61" customWidth="1"/>
    <col min="11023" max="11023" width="4.69921875" style="61" customWidth="1"/>
    <col min="11024" max="11027" width="4.296875" style="61" customWidth="1"/>
    <col min="11028" max="11028" width="3.19921875" style="61" customWidth="1"/>
    <col min="11029" max="11029" width="13.69921875" style="61" customWidth="1"/>
    <col min="11030" max="11030" width="26.69921875" style="61" customWidth="1"/>
    <col min="11031" max="11034" width="13.69921875" style="61" customWidth="1"/>
    <col min="11035" max="11039" width="7.69921875" style="61"/>
    <col min="11040" max="11043" width="0" style="61" hidden="1" customWidth="1"/>
    <col min="11044" max="11264" width="7.69921875" style="61"/>
    <col min="11265" max="11265" width="2.5" style="61" customWidth="1"/>
    <col min="11266" max="11266" width="6.69921875" style="61" customWidth="1"/>
    <col min="11267" max="11274" width="3.19921875" style="61" customWidth="1"/>
    <col min="11275" max="11277" width="4.69921875" style="61" customWidth="1"/>
    <col min="11278" max="11278" width="4.296875" style="61" customWidth="1"/>
    <col min="11279" max="11279" width="4.69921875" style="61" customWidth="1"/>
    <col min="11280" max="11283" width="4.296875" style="61" customWidth="1"/>
    <col min="11284" max="11284" width="3.19921875" style="61" customWidth="1"/>
    <col min="11285" max="11285" width="13.69921875" style="61" customWidth="1"/>
    <col min="11286" max="11286" width="26.69921875" style="61" customWidth="1"/>
    <col min="11287" max="11290" width="13.69921875" style="61" customWidth="1"/>
    <col min="11291" max="11295" width="7.69921875" style="61"/>
    <col min="11296" max="11299" width="0" style="61" hidden="1" customWidth="1"/>
    <col min="11300" max="11520" width="7.69921875" style="61"/>
    <col min="11521" max="11521" width="2.5" style="61" customWidth="1"/>
    <col min="11522" max="11522" width="6.69921875" style="61" customWidth="1"/>
    <col min="11523" max="11530" width="3.19921875" style="61" customWidth="1"/>
    <col min="11531" max="11533" width="4.69921875" style="61" customWidth="1"/>
    <col min="11534" max="11534" width="4.296875" style="61" customWidth="1"/>
    <col min="11535" max="11535" width="4.69921875" style="61" customWidth="1"/>
    <col min="11536" max="11539" width="4.296875" style="61" customWidth="1"/>
    <col min="11540" max="11540" width="3.19921875" style="61" customWidth="1"/>
    <col min="11541" max="11541" width="13.69921875" style="61" customWidth="1"/>
    <col min="11542" max="11542" width="26.69921875" style="61" customWidth="1"/>
    <col min="11543" max="11546" width="13.69921875" style="61" customWidth="1"/>
    <col min="11547" max="11551" width="7.69921875" style="61"/>
    <col min="11552" max="11555" width="0" style="61" hidden="1" customWidth="1"/>
    <col min="11556" max="11776" width="7.69921875" style="61"/>
    <col min="11777" max="11777" width="2.5" style="61" customWidth="1"/>
    <col min="11778" max="11778" width="6.69921875" style="61" customWidth="1"/>
    <col min="11779" max="11786" width="3.19921875" style="61" customWidth="1"/>
    <col min="11787" max="11789" width="4.69921875" style="61" customWidth="1"/>
    <col min="11790" max="11790" width="4.296875" style="61" customWidth="1"/>
    <col min="11791" max="11791" width="4.69921875" style="61" customWidth="1"/>
    <col min="11792" max="11795" width="4.296875" style="61" customWidth="1"/>
    <col min="11796" max="11796" width="3.19921875" style="61" customWidth="1"/>
    <col min="11797" max="11797" width="13.69921875" style="61" customWidth="1"/>
    <col min="11798" max="11798" width="26.69921875" style="61" customWidth="1"/>
    <col min="11799" max="11802" width="13.69921875" style="61" customWidth="1"/>
    <col min="11803" max="11807" width="7.69921875" style="61"/>
    <col min="11808" max="11811" width="0" style="61" hidden="1" customWidth="1"/>
    <col min="11812" max="12032" width="7.69921875" style="61"/>
    <col min="12033" max="12033" width="2.5" style="61" customWidth="1"/>
    <col min="12034" max="12034" width="6.69921875" style="61" customWidth="1"/>
    <col min="12035" max="12042" width="3.19921875" style="61" customWidth="1"/>
    <col min="12043" max="12045" width="4.69921875" style="61" customWidth="1"/>
    <col min="12046" max="12046" width="4.296875" style="61" customWidth="1"/>
    <col min="12047" max="12047" width="4.69921875" style="61" customWidth="1"/>
    <col min="12048" max="12051" width="4.296875" style="61" customWidth="1"/>
    <col min="12052" max="12052" width="3.19921875" style="61" customWidth="1"/>
    <col min="12053" max="12053" width="13.69921875" style="61" customWidth="1"/>
    <col min="12054" max="12054" width="26.69921875" style="61" customWidth="1"/>
    <col min="12055" max="12058" width="13.69921875" style="61" customWidth="1"/>
    <col min="12059" max="12063" width="7.69921875" style="61"/>
    <col min="12064" max="12067" width="0" style="61" hidden="1" customWidth="1"/>
    <col min="12068" max="12288" width="7.69921875" style="61"/>
    <col min="12289" max="12289" width="2.5" style="61" customWidth="1"/>
    <col min="12290" max="12290" width="6.69921875" style="61" customWidth="1"/>
    <col min="12291" max="12298" width="3.19921875" style="61" customWidth="1"/>
    <col min="12299" max="12301" width="4.69921875" style="61" customWidth="1"/>
    <col min="12302" max="12302" width="4.296875" style="61" customWidth="1"/>
    <col min="12303" max="12303" width="4.69921875" style="61" customWidth="1"/>
    <col min="12304" max="12307" width="4.296875" style="61" customWidth="1"/>
    <col min="12308" max="12308" width="3.19921875" style="61" customWidth="1"/>
    <col min="12309" max="12309" width="13.69921875" style="61" customWidth="1"/>
    <col min="12310" max="12310" width="26.69921875" style="61" customWidth="1"/>
    <col min="12311" max="12314" width="13.69921875" style="61" customWidth="1"/>
    <col min="12315" max="12319" width="7.69921875" style="61"/>
    <col min="12320" max="12323" width="0" style="61" hidden="1" customWidth="1"/>
    <col min="12324" max="12544" width="7.69921875" style="61"/>
    <col min="12545" max="12545" width="2.5" style="61" customWidth="1"/>
    <col min="12546" max="12546" width="6.69921875" style="61" customWidth="1"/>
    <col min="12547" max="12554" width="3.19921875" style="61" customWidth="1"/>
    <col min="12555" max="12557" width="4.69921875" style="61" customWidth="1"/>
    <col min="12558" max="12558" width="4.296875" style="61" customWidth="1"/>
    <col min="12559" max="12559" width="4.69921875" style="61" customWidth="1"/>
    <col min="12560" max="12563" width="4.296875" style="61" customWidth="1"/>
    <col min="12564" max="12564" width="3.19921875" style="61" customWidth="1"/>
    <col min="12565" max="12565" width="13.69921875" style="61" customWidth="1"/>
    <col min="12566" max="12566" width="26.69921875" style="61" customWidth="1"/>
    <col min="12567" max="12570" width="13.69921875" style="61" customWidth="1"/>
    <col min="12571" max="12575" width="7.69921875" style="61"/>
    <col min="12576" max="12579" width="0" style="61" hidden="1" customWidth="1"/>
    <col min="12580" max="12800" width="7.69921875" style="61"/>
    <col min="12801" max="12801" width="2.5" style="61" customWidth="1"/>
    <col min="12802" max="12802" width="6.69921875" style="61" customWidth="1"/>
    <col min="12803" max="12810" width="3.19921875" style="61" customWidth="1"/>
    <col min="12811" max="12813" width="4.69921875" style="61" customWidth="1"/>
    <col min="12814" max="12814" width="4.296875" style="61" customWidth="1"/>
    <col min="12815" max="12815" width="4.69921875" style="61" customWidth="1"/>
    <col min="12816" max="12819" width="4.296875" style="61" customWidth="1"/>
    <col min="12820" max="12820" width="3.19921875" style="61" customWidth="1"/>
    <col min="12821" max="12821" width="13.69921875" style="61" customWidth="1"/>
    <col min="12822" max="12822" width="26.69921875" style="61" customWidth="1"/>
    <col min="12823" max="12826" width="13.69921875" style="61" customWidth="1"/>
    <col min="12827" max="12831" width="7.69921875" style="61"/>
    <col min="12832" max="12835" width="0" style="61" hidden="1" customWidth="1"/>
    <col min="12836" max="13056" width="7.69921875" style="61"/>
    <col min="13057" max="13057" width="2.5" style="61" customWidth="1"/>
    <col min="13058" max="13058" width="6.69921875" style="61" customWidth="1"/>
    <col min="13059" max="13066" width="3.19921875" style="61" customWidth="1"/>
    <col min="13067" max="13069" width="4.69921875" style="61" customWidth="1"/>
    <col min="13070" max="13070" width="4.296875" style="61" customWidth="1"/>
    <col min="13071" max="13071" width="4.69921875" style="61" customWidth="1"/>
    <col min="13072" max="13075" width="4.296875" style="61" customWidth="1"/>
    <col min="13076" max="13076" width="3.19921875" style="61" customWidth="1"/>
    <col min="13077" max="13077" width="13.69921875" style="61" customWidth="1"/>
    <col min="13078" max="13078" width="26.69921875" style="61" customWidth="1"/>
    <col min="13079" max="13082" width="13.69921875" style="61" customWidth="1"/>
    <col min="13083" max="13087" width="7.69921875" style="61"/>
    <col min="13088" max="13091" width="0" style="61" hidden="1" customWidth="1"/>
    <col min="13092" max="13312" width="7.69921875" style="61"/>
    <col min="13313" max="13313" width="2.5" style="61" customWidth="1"/>
    <col min="13314" max="13314" width="6.69921875" style="61" customWidth="1"/>
    <col min="13315" max="13322" width="3.19921875" style="61" customWidth="1"/>
    <col min="13323" max="13325" width="4.69921875" style="61" customWidth="1"/>
    <col min="13326" max="13326" width="4.296875" style="61" customWidth="1"/>
    <col min="13327" max="13327" width="4.69921875" style="61" customWidth="1"/>
    <col min="13328" max="13331" width="4.296875" style="61" customWidth="1"/>
    <col min="13332" max="13332" width="3.19921875" style="61" customWidth="1"/>
    <col min="13333" max="13333" width="13.69921875" style="61" customWidth="1"/>
    <col min="13334" max="13334" width="26.69921875" style="61" customWidth="1"/>
    <col min="13335" max="13338" width="13.69921875" style="61" customWidth="1"/>
    <col min="13339" max="13343" width="7.69921875" style="61"/>
    <col min="13344" max="13347" width="0" style="61" hidden="1" customWidth="1"/>
    <col min="13348" max="13568" width="7.69921875" style="61"/>
    <col min="13569" max="13569" width="2.5" style="61" customWidth="1"/>
    <col min="13570" max="13570" width="6.69921875" style="61" customWidth="1"/>
    <col min="13571" max="13578" width="3.19921875" style="61" customWidth="1"/>
    <col min="13579" max="13581" width="4.69921875" style="61" customWidth="1"/>
    <col min="13582" max="13582" width="4.296875" style="61" customWidth="1"/>
    <col min="13583" max="13583" width="4.69921875" style="61" customWidth="1"/>
    <col min="13584" max="13587" width="4.296875" style="61" customWidth="1"/>
    <col min="13588" max="13588" width="3.19921875" style="61" customWidth="1"/>
    <col min="13589" max="13589" width="13.69921875" style="61" customWidth="1"/>
    <col min="13590" max="13590" width="26.69921875" style="61" customWidth="1"/>
    <col min="13591" max="13594" width="13.69921875" style="61" customWidth="1"/>
    <col min="13595" max="13599" width="7.69921875" style="61"/>
    <col min="13600" max="13603" width="0" style="61" hidden="1" customWidth="1"/>
    <col min="13604" max="13824" width="7.69921875" style="61"/>
    <col min="13825" max="13825" width="2.5" style="61" customWidth="1"/>
    <col min="13826" max="13826" width="6.69921875" style="61" customWidth="1"/>
    <col min="13827" max="13834" width="3.19921875" style="61" customWidth="1"/>
    <col min="13835" max="13837" width="4.69921875" style="61" customWidth="1"/>
    <col min="13838" max="13838" width="4.296875" style="61" customWidth="1"/>
    <col min="13839" max="13839" width="4.69921875" style="61" customWidth="1"/>
    <col min="13840" max="13843" width="4.296875" style="61" customWidth="1"/>
    <col min="13844" max="13844" width="3.19921875" style="61" customWidth="1"/>
    <col min="13845" max="13845" width="13.69921875" style="61" customWidth="1"/>
    <col min="13846" max="13846" width="26.69921875" style="61" customWidth="1"/>
    <col min="13847" max="13850" width="13.69921875" style="61" customWidth="1"/>
    <col min="13851" max="13855" width="7.69921875" style="61"/>
    <col min="13856" max="13859" width="0" style="61" hidden="1" customWidth="1"/>
    <col min="13860" max="14080" width="7.69921875" style="61"/>
    <col min="14081" max="14081" width="2.5" style="61" customWidth="1"/>
    <col min="14082" max="14082" width="6.69921875" style="61" customWidth="1"/>
    <col min="14083" max="14090" width="3.19921875" style="61" customWidth="1"/>
    <col min="14091" max="14093" width="4.69921875" style="61" customWidth="1"/>
    <col min="14094" max="14094" width="4.296875" style="61" customWidth="1"/>
    <col min="14095" max="14095" width="4.69921875" style="61" customWidth="1"/>
    <col min="14096" max="14099" width="4.296875" style="61" customWidth="1"/>
    <col min="14100" max="14100" width="3.19921875" style="61" customWidth="1"/>
    <col min="14101" max="14101" width="13.69921875" style="61" customWidth="1"/>
    <col min="14102" max="14102" width="26.69921875" style="61" customWidth="1"/>
    <col min="14103" max="14106" width="13.69921875" style="61" customWidth="1"/>
    <col min="14107" max="14111" width="7.69921875" style="61"/>
    <col min="14112" max="14115" width="0" style="61" hidden="1" customWidth="1"/>
    <col min="14116" max="14336" width="7.69921875" style="61"/>
    <col min="14337" max="14337" width="2.5" style="61" customWidth="1"/>
    <col min="14338" max="14338" width="6.69921875" style="61" customWidth="1"/>
    <col min="14339" max="14346" width="3.19921875" style="61" customWidth="1"/>
    <col min="14347" max="14349" width="4.69921875" style="61" customWidth="1"/>
    <col min="14350" max="14350" width="4.296875" style="61" customWidth="1"/>
    <col min="14351" max="14351" width="4.69921875" style="61" customWidth="1"/>
    <col min="14352" max="14355" width="4.296875" style="61" customWidth="1"/>
    <col min="14356" max="14356" width="3.19921875" style="61" customWidth="1"/>
    <col min="14357" max="14357" width="13.69921875" style="61" customWidth="1"/>
    <col min="14358" max="14358" width="26.69921875" style="61" customWidth="1"/>
    <col min="14359" max="14362" width="13.69921875" style="61" customWidth="1"/>
    <col min="14363" max="14367" width="7.69921875" style="61"/>
    <col min="14368" max="14371" width="0" style="61" hidden="1" customWidth="1"/>
    <col min="14372" max="14592" width="7.69921875" style="61"/>
    <col min="14593" max="14593" width="2.5" style="61" customWidth="1"/>
    <col min="14594" max="14594" width="6.69921875" style="61" customWidth="1"/>
    <col min="14595" max="14602" width="3.19921875" style="61" customWidth="1"/>
    <col min="14603" max="14605" width="4.69921875" style="61" customWidth="1"/>
    <col min="14606" max="14606" width="4.296875" style="61" customWidth="1"/>
    <col min="14607" max="14607" width="4.69921875" style="61" customWidth="1"/>
    <col min="14608" max="14611" width="4.296875" style="61" customWidth="1"/>
    <col min="14612" max="14612" width="3.19921875" style="61" customWidth="1"/>
    <col min="14613" max="14613" width="13.69921875" style="61" customWidth="1"/>
    <col min="14614" max="14614" width="26.69921875" style="61" customWidth="1"/>
    <col min="14615" max="14618" width="13.69921875" style="61" customWidth="1"/>
    <col min="14619" max="14623" width="7.69921875" style="61"/>
    <col min="14624" max="14627" width="0" style="61" hidden="1" customWidth="1"/>
    <col min="14628" max="14848" width="7.69921875" style="61"/>
    <col min="14849" max="14849" width="2.5" style="61" customWidth="1"/>
    <col min="14850" max="14850" width="6.69921875" style="61" customWidth="1"/>
    <col min="14851" max="14858" width="3.19921875" style="61" customWidth="1"/>
    <col min="14859" max="14861" width="4.69921875" style="61" customWidth="1"/>
    <col min="14862" max="14862" width="4.296875" style="61" customWidth="1"/>
    <col min="14863" max="14863" width="4.69921875" style="61" customWidth="1"/>
    <col min="14864" max="14867" width="4.296875" style="61" customWidth="1"/>
    <col min="14868" max="14868" width="3.19921875" style="61" customWidth="1"/>
    <col min="14869" max="14869" width="13.69921875" style="61" customWidth="1"/>
    <col min="14870" max="14870" width="26.69921875" style="61" customWidth="1"/>
    <col min="14871" max="14874" width="13.69921875" style="61" customWidth="1"/>
    <col min="14875" max="14879" width="7.69921875" style="61"/>
    <col min="14880" max="14883" width="0" style="61" hidden="1" customWidth="1"/>
    <col min="14884" max="15104" width="7.69921875" style="61"/>
    <col min="15105" max="15105" width="2.5" style="61" customWidth="1"/>
    <col min="15106" max="15106" width="6.69921875" style="61" customWidth="1"/>
    <col min="15107" max="15114" width="3.19921875" style="61" customWidth="1"/>
    <col min="15115" max="15117" width="4.69921875" style="61" customWidth="1"/>
    <col min="15118" max="15118" width="4.296875" style="61" customWidth="1"/>
    <col min="15119" max="15119" width="4.69921875" style="61" customWidth="1"/>
    <col min="15120" max="15123" width="4.296875" style="61" customWidth="1"/>
    <col min="15124" max="15124" width="3.19921875" style="61" customWidth="1"/>
    <col min="15125" max="15125" width="13.69921875" style="61" customWidth="1"/>
    <col min="15126" max="15126" width="26.69921875" style="61" customWidth="1"/>
    <col min="15127" max="15130" width="13.69921875" style="61" customWidth="1"/>
    <col min="15131" max="15135" width="7.69921875" style="61"/>
    <col min="15136" max="15139" width="0" style="61" hidden="1" customWidth="1"/>
    <col min="15140" max="15360" width="7.69921875" style="61"/>
    <col min="15361" max="15361" width="2.5" style="61" customWidth="1"/>
    <col min="15362" max="15362" width="6.69921875" style="61" customWidth="1"/>
    <col min="15363" max="15370" width="3.19921875" style="61" customWidth="1"/>
    <col min="15371" max="15373" width="4.69921875" style="61" customWidth="1"/>
    <col min="15374" max="15374" width="4.296875" style="61" customWidth="1"/>
    <col min="15375" max="15375" width="4.69921875" style="61" customWidth="1"/>
    <col min="15376" max="15379" width="4.296875" style="61" customWidth="1"/>
    <col min="15380" max="15380" width="3.19921875" style="61" customWidth="1"/>
    <col min="15381" max="15381" width="13.69921875" style="61" customWidth="1"/>
    <col min="15382" max="15382" width="26.69921875" style="61" customWidth="1"/>
    <col min="15383" max="15386" width="13.69921875" style="61" customWidth="1"/>
    <col min="15387" max="15391" width="7.69921875" style="61"/>
    <col min="15392" max="15395" width="0" style="61" hidden="1" customWidth="1"/>
    <col min="15396" max="15616" width="7.69921875" style="61"/>
    <col min="15617" max="15617" width="2.5" style="61" customWidth="1"/>
    <col min="15618" max="15618" width="6.69921875" style="61" customWidth="1"/>
    <col min="15619" max="15626" width="3.19921875" style="61" customWidth="1"/>
    <col min="15627" max="15629" width="4.69921875" style="61" customWidth="1"/>
    <col min="15630" max="15630" width="4.296875" style="61" customWidth="1"/>
    <col min="15631" max="15631" width="4.69921875" style="61" customWidth="1"/>
    <col min="15632" max="15635" width="4.296875" style="61" customWidth="1"/>
    <col min="15636" max="15636" width="3.19921875" style="61" customWidth="1"/>
    <col min="15637" max="15637" width="13.69921875" style="61" customWidth="1"/>
    <col min="15638" max="15638" width="26.69921875" style="61" customWidth="1"/>
    <col min="15639" max="15642" width="13.69921875" style="61" customWidth="1"/>
    <col min="15643" max="15647" width="7.69921875" style="61"/>
    <col min="15648" max="15651" width="0" style="61" hidden="1" customWidth="1"/>
    <col min="15652" max="15872" width="7.69921875" style="61"/>
    <col min="15873" max="15873" width="2.5" style="61" customWidth="1"/>
    <col min="15874" max="15874" width="6.69921875" style="61" customWidth="1"/>
    <col min="15875" max="15882" width="3.19921875" style="61" customWidth="1"/>
    <col min="15883" max="15885" width="4.69921875" style="61" customWidth="1"/>
    <col min="15886" max="15886" width="4.296875" style="61" customWidth="1"/>
    <col min="15887" max="15887" width="4.69921875" style="61" customWidth="1"/>
    <col min="15888" max="15891" width="4.296875" style="61" customWidth="1"/>
    <col min="15892" max="15892" width="3.19921875" style="61" customWidth="1"/>
    <col min="15893" max="15893" width="13.69921875" style="61" customWidth="1"/>
    <col min="15894" max="15894" width="26.69921875" style="61" customWidth="1"/>
    <col min="15895" max="15898" width="13.69921875" style="61" customWidth="1"/>
    <col min="15899" max="15903" width="7.69921875" style="61"/>
    <col min="15904" max="15907" width="0" style="61" hidden="1" customWidth="1"/>
    <col min="15908" max="16128" width="7.69921875" style="61"/>
    <col min="16129" max="16129" width="2.5" style="61" customWidth="1"/>
    <col min="16130" max="16130" width="6.69921875" style="61" customWidth="1"/>
    <col min="16131" max="16138" width="3.19921875" style="61" customWidth="1"/>
    <col min="16139" max="16141" width="4.69921875" style="61" customWidth="1"/>
    <col min="16142" max="16142" width="4.296875" style="61" customWidth="1"/>
    <col min="16143" max="16143" width="4.69921875" style="61" customWidth="1"/>
    <col min="16144" max="16147" width="4.296875" style="61" customWidth="1"/>
    <col min="16148" max="16148" width="3.19921875" style="61" customWidth="1"/>
    <col min="16149" max="16149" width="13.69921875" style="61" customWidth="1"/>
    <col min="16150" max="16150" width="26.69921875" style="61" customWidth="1"/>
    <col min="16151" max="16154" width="13.69921875" style="61" customWidth="1"/>
    <col min="16155" max="16159" width="7.69921875" style="61"/>
    <col min="16160" max="16163" width="0" style="61" hidden="1" customWidth="1"/>
    <col min="16164" max="16384" width="7.69921875" style="61"/>
  </cols>
  <sheetData>
    <row r="1" spans="1:34" s="66" customFormat="1" ht="15" customHeight="1">
      <c r="B1" s="184"/>
      <c r="C1" s="184"/>
      <c r="T1" s="184"/>
      <c r="V1" s="65" t="s">
        <v>392</v>
      </c>
    </row>
    <row r="2" spans="1:34" s="74" customFormat="1" ht="15" customHeight="1">
      <c r="A2" s="75" t="s">
        <v>393</v>
      </c>
      <c r="B2" s="73"/>
      <c r="C2" s="73"/>
      <c r="D2" s="65"/>
      <c r="E2" s="65"/>
      <c r="F2" s="65"/>
      <c r="G2" s="65"/>
      <c r="H2" s="65"/>
      <c r="I2" s="65"/>
      <c r="J2" s="65"/>
      <c r="K2" s="65"/>
      <c r="L2" s="65"/>
      <c r="M2" s="65"/>
      <c r="N2" s="65"/>
      <c r="O2" s="65"/>
      <c r="P2" s="65"/>
      <c r="Q2" s="158" t="str">
        <f>'SP11-1'!$L$2</f>
        <v>Spreadsheet released 14-Apr-2023</v>
      </c>
      <c r="R2" s="65"/>
      <c r="S2" s="65"/>
      <c r="T2" s="70"/>
      <c r="V2" s="159" t="s">
        <v>394</v>
      </c>
      <c r="W2" s="65"/>
      <c r="X2" s="65"/>
      <c r="Y2" s="65"/>
    </row>
    <row r="3" spans="1:34" s="66" customFormat="1" ht="15" customHeight="1">
      <c r="A3" s="73" t="s">
        <v>481</v>
      </c>
      <c r="B3" s="73"/>
      <c r="C3" s="65"/>
      <c r="D3" s="65"/>
      <c r="E3" s="65"/>
      <c r="F3" s="65"/>
      <c r="G3" s="65"/>
      <c r="H3" s="65"/>
      <c r="I3" s="65"/>
      <c r="J3" s="65"/>
      <c r="K3" s="65"/>
      <c r="L3" s="65"/>
      <c r="M3" s="65"/>
      <c r="N3" s="65"/>
      <c r="O3" s="65"/>
      <c r="P3" s="65"/>
      <c r="Q3" s="65"/>
      <c r="R3" s="65"/>
      <c r="S3" s="65"/>
      <c r="T3" s="65"/>
      <c r="U3" s="65"/>
      <c r="V3" s="65"/>
      <c r="W3" s="65"/>
      <c r="X3" s="65"/>
      <c r="Y3" s="65"/>
    </row>
    <row r="4" spans="1:34" s="74" customFormat="1" ht="15" customHeight="1">
      <c r="A4" s="75"/>
      <c r="B4" s="631" t="s">
        <v>482</v>
      </c>
      <c r="C4" s="632"/>
      <c r="D4" s="632"/>
      <c r="E4" s="632"/>
      <c r="F4" s="632"/>
      <c r="G4" s="632"/>
      <c r="H4" s="632"/>
      <c r="I4" s="632"/>
      <c r="J4" s="632"/>
      <c r="K4" s="632"/>
      <c r="L4" s="632"/>
      <c r="M4" s="632"/>
      <c r="N4" s="632"/>
      <c r="O4" s="632"/>
      <c r="P4" s="632"/>
      <c r="Q4" s="632"/>
      <c r="R4" s="632"/>
      <c r="S4" s="632"/>
      <c r="T4" s="633"/>
      <c r="U4" s="65"/>
      <c r="V4" s="65"/>
      <c r="W4" s="65"/>
      <c r="X4" s="65"/>
      <c r="Y4" s="65"/>
    </row>
    <row r="5" spans="1:34" s="74" customFormat="1" ht="9.75" customHeight="1">
      <c r="A5" s="75"/>
      <c r="B5" s="634"/>
      <c r="C5" s="635"/>
      <c r="D5" s="635"/>
      <c r="E5" s="635"/>
      <c r="F5" s="635"/>
      <c r="G5" s="635"/>
      <c r="H5" s="635"/>
      <c r="I5" s="635"/>
      <c r="J5" s="635"/>
      <c r="K5" s="635"/>
      <c r="L5" s="635"/>
      <c r="M5" s="635"/>
      <c r="N5" s="635"/>
      <c r="O5" s="635"/>
      <c r="P5" s="635"/>
      <c r="Q5" s="635"/>
      <c r="R5" s="635"/>
      <c r="S5" s="635"/>
      <c r="T5" s="636"/>
      <c r="U5" s="65"/>
      <c r="V5" s="65"/>
      <c r="W5" s="65"/>
      <c r="X5" s="65"/>
      <c r="Y5" s="65"/>
    </row>
    <row r="6" spans="1:34" s="66" customFormat="1" ht="11.25" customHeight="1">
      <c r="A6" s="70"/>
      <c r="B6" s="70"/>
      <c r="C6" s="65"/>
      <c r="D6" s="65"/>
      <c r="E6" s="65"/>
      <c r="F6" s="65"/>
      <c r="G6" s="65"/>
      <c r="H6" s="65"/>
      <c r="I6" s="65"/>
      <c r="J6" s="65"/>
      <c r="K6" s="65"/>
      <c r="L6" s="65"/>
      <c r="M6" s="65"/>
      <c r="N6" s="65"/>
      <c r="O6" s="65"/>
      <c r="P6" s="65"/>
      <c r="Q6" s="65"/>
      <c r="R6" s="65"/>
      <c r="S6" s="65"/>
      <c r="T6" s="65"/>
      <c r="U6" s="65"/>
      <c r="V6" s="65"/>
      <c r="W6" s="65"/>
      <c r="X6" s="65"/>
      <c r="Y6" s="65"/>
    </row>
    <row r="7" spans="1:34" s="65" customFormat="1" ht="3.75" customHeight="1">
      <c r="A7" s="398"/>
      <c r="B7" s="399"/>
      <c r="C7" s="399"/>
      <c r="D7" s="399"/>
      <c r="E7" s="399"/>
      <c r="F7" s="399"/>
      <c r="G7" s="399"/>
      <c r="H7" s="399"/>
      <c r="I7" s="399"/>
      <c r="J7" s="399"/>
      <c r="K7" s="399"/>
      <c r="L7" s="399"/>
      <c r="M7" s="399"/>
      <c r="N7" s="399"/>
      <c r="O7" s="399"/>
      <c r="P7" s="399"/>
      <c r="Q7" s="399"/>
      <c r="R7" s="399"/>
      <c r="S7" s="399"/>
      <c r="T7" s="399"/>
    </row>
    <row r="8" spans="1:34" s="66" customFormat="1" ht="19.5" customHeight="1">
      <c r="A8" s="402">
        <v>1</v>
      </c>
      <c r="B8" s="655" t="s">
        <v>483</v>
      </c>
      <c r="C8" s="655"/>
      <c r="D8" s="655"/>
      <c r="E8" s="655"/>
      <c r="F8" s="655"/>
      <c r="G8" s="655"/>
      <c r="H8" s="655"/>
      <c r="I8" s="655"/>
      <c r="J8" s="655"/>
      <c r="K8" s="655"/>
      <c r="L8" s="655"/>
      <c r="M8" s="655"/>
      <c r="N8" s="655"/>
      <c r="O8" s="399"/>
      <c r="P8" s="399"/>
      <c r="Q8" s="399"/>
      <c r="R8" s="399"/>
      <c r="S8" s="399"/>
      <c r="T8" s="399"/>
      <c r="U8" s="65"/>
      <c r="V8" s="65"/>
      <c r="W8" s="65"/>
      <c r="X8" s="65"/>
      <c r="Y8" s="65"/>
    </row>
    <row r="9" spans="1:34" s="66" customFormat="1" ht="19.5" customHeight="1">
      <c r="A9" s="398"/>
      <c r="B9" s="399" t="s">
        <v>484</v>
      </c>
      <c r="C9" s="399"/>
      <c r="D9" s="399"/>
      <c r="E9" s="399"/>
      <c r="F9" s="399"/>
      <c r="G9" s="399"/>
      <c r="H9" s="399"/>
      <c r="I9" s="399"/>
      <c r="J9" s="399"/>
      <c r="K9" s="399"/>
      <c r="L9" s="399"/>
      <c r="M9" s="409"/>
      <c r="N9" s="409"/>
      <c r="O9" s="409"/>
      <c r="P9" s="399"/>
      <c r="Q9" s="409"/>
      <c r="R9" s="409"/>
      <c r="S9" s="409"/>
      <c r="T9" s="399"/>
      <c r="U9" s="65"/>
      <c r="V9" s="65"/>
      <c r="W9" s="65"/>
      <c r="X9" s="65"/>
      <c r="Y9" s="65"/>
    </row>
    <row r="10" spans="1:34" s="66" customFormat="1" ht="19.5" customHeight="1">
      <c r="A10" s="402"/>
      <c r="B10" s="399" t="s">
        <v>485</v>
      </c>
      <c r="C10" s="404"/>
      <c r="D10" s="404"/>
      <c r="E10" s="667">
        <f>'SP11-1'!I26-3</f>
        <v>-3</v>
      </c>
      <c r="F10" s="667"/>
      <c r="G10" s="404"/>
      <c r="H10" s="404"/>
      <c r="I10" s="404"/>
      <c r="J10" s="399"/>
      <c r="K10" s="399"/>
      <c r="L10" s="406"/>
      <c r="M10" s="668"/>
      <c r="N10" s="669"/>
      <c r="O10" s="670"/>
      <c r="P10" s="407" t="s">
        <v>267</v>
      </c>
      <c r="Q10" s="671"/>
      <c r="R10" s="672"/>
      <c r="S10" s="673"/>
      <c r="T10" s="408"/>
      <c r="U10" s="65"/>
      <c r="V10" s="631" t="s">
        <v>486</v>
      </c>
      <c r="W10" s="632"/>
      <c r="X10" s="632"/>
      <c r="Y10" s="632"/>
      <c r="Z10" s="633"/>
    </row>
    <row r="11" spans="1:34" s="66" customFormat="1" ht="19.5" customHeight="1">
      <c r="A11" s="398"/>
      <c r="B11" s="399" t="s">
        <v>487</v>
      </c>
      <c r="C11" s="399"/>
      <c r="D11" s="399"/>
      <c r="E11" s="677">
        <f>'SP11-1'!I26-2</f>
        <v>-2</v>
      </c>
      <c r="F11" s="677"/>
      <c r="G11" s="399"/>
      <c r="H11" s="399"/>
      <c r="I11" s="399"/>
      <c r="J11" s="399"/>
      <c r="K11" s="399"/>
      <c r="L11" s="406"/>
      <c r="M11" s="668"/>
      <c r="N11" s="669"/>
      <c r="O11" s="670"/>
      <c r="P11" s="407" t="s">
        <v>267</v>
      </c>
      <c r="Q11" s="671"/>
      <c r="R11" s="672"/>
      <c r="S11" s="673"/>
      <c r="T11" s="408"/>
      <c r="U11" s="65"/>
      <c r="V11" s="674"/>
      <c r="W11" s="675"/>
      <c r="X11" s="675"/>
      <c r="Y11" s="675"/>
      <c r="Z11" s="676"/>
    </row>
    <row r="12" spans="1:34" s="66" customFormat="1" ht="19.5" customHeight="1">
      <c r="A12" s="398"/>
      <c r="B12" s="399" t="s">
        <v>488</v>
      </c>
      <c r="C12" s="399"/>
      <c r="D12" s="399"/>
      <c r="E12" s="677">
        <f>'SP11-1'!I26-1</f>
        <v>-1</v>
      </c>
      <c r="F12" s="677"/>
      <c r="G12" s="399"/>
      <c r="H12" s="399"/>
      <c r="I12" s="399"/>
      <c r="J12" s="399"/>
      <c r="K12" s="399"/>
      <c r="L12" s="406"/>
      <c r="M12" s="668"/>
      <c r="N12" s="669"/>
      <c r="O12" s="670"/>
      <c r="P12" s="407" t="s">
        <v>267</v>
      </c>
      <c r="Q12" s="671"/>
      <c r="R12" s="672"/>
      <c r="S12" s="673"/>
      <c r="T12" s="408"/>
      <c r="U12" s="65"/>
      <c r="V12" s="634"/>
      <c r="W12" s="635"/>
      <c r="X12" s="635"/>
      <c r="Y12" s="635"/>
      <c r="Z12" s="636"/>
    </row>
    <row r="13" spans="1:34" s="66" customFormat="1" ht="19.5" customHeight="1">
      <c r="A13" s="398"/>
      <c r="B13" s="399" t="s">
        <v>489</v>
      </c>
      <c r="C13" s="399"/>
      <c r="D13" s="399"/>
      <c r="E13" s="399"/>
      <c r="F13" s="399"/>
      <c r="G13" s="399"/>
      <c r="H13" s="399"/>
      <c r="I13" s="399"/>
      <c r="J13" s="399"/>
      <c r="K13" s="405">
        <f>'SP11-1'!I26</f>
        <v>0</v>
      </c>
      <c r="L13" s="406"/>
      <c r="M13" s="668"/>
      <c r="N13" s="669"/>
      <c r="O13" s="670"/>
      <c r="P13" s="407" t="s">
        <v>267</v>
      </c>
      <c r="Q13" s="671"/>
      <c r="R13" s="672"/>
      <c r="S13" s="673"/>
      <c r="T13" s="408"/>
      <c r="U13" s="65"/>
      <c r="V13" s="65"/>
      <c r="W13" s="65"/>
      <c r="X13" s="65"/>
      <c r="Y13" s="65"/>
    </row>
    <row r="14" spans="1:34" s="66" customFormat="1" ht="19.5" customHeight="1">
      <c r="A14" s="398"/>
      <c r="B14" s="399" t="s">
        <v>490</v>
      </c>
      <c r="C14" s="399"/>
      <c r="D14" s="399"/>
      <c r="E14" s="399"/>
      <c r="F14" s="399"/>
      <c r="G14" s="399"/>
      <c r="H14" s="399"/>
      <c r="I14" s="399"/>
      <c r="J14" s="399"/>
      <c r="K14" s="399"/>
      <c r="L14" s="406"/>
      <c r="M14" s="668"/>
      <c r="N14" s="669"/>
      <c r="O14" s="670"/>
      <c r="P14" s="407" t="s">
        <v>267</v>
      </c>
      <c r="Q14" s="671"/>
      <c r="R14" s="672"/>
      <c r="S14" s="673"/>
      <c r="T14" s="408"/>
      <c r="U14" s="65"/>
      <c r="V14" s="65"/>
      <c r="W14" s="65"/>
      <c r="AF14" s="65" t="s">
        <v>460</v>
      </c>
      <c r="AG14" s="65"/>
    </row>
    <row r="15" spans="1:34" s="186" customFormat="1" ht="3.75" customHeight="1">
      <c r="A15" s="398"/>
      <c r="B15" s="399"/>
      <c r="C15" s="399"/>
      <c r="D15" s="399"/>
      <c r="E15" s="399"/>
      <c r="F15" s="399"/>
      <c r="G15" s="399"/>
      <c r="H15" s="399"/>
      <c r="I15" s="399"/>
      <c r="J15" s="399"/>
      <c r="K15" s="399"/>
      <c r="L15" s="399"/>
      <c r="M15" s="410"/>
      <c r="N15" s="410"/>
      <c r="O15" s="410"/>
      <c r="P15" s="400"/>
      <c r="Q15" s="411"/>
      <c r="R15" s="411"/>
      <c r="S15" s="411"/>
      <c r="T15" s="399"/>
      <c r="U15" s="185"/>
      <c r="V15" s="185"/>
      <c r="W15" s="185"/>
      <c r="AF15" s="185"/>
      <c r="AG15" s="185"/>
    </row>
    <row r="16" spans="1:34" s="66" customFormat="1" ht="19.5" customHeight="1">
      <c r="A16" s="402">
        <v>2</v>
      </c>
      <c r="B16" s="655" t="s">
        <v>491</v>
      </c>
      <c r="C16" s="655"/>
      <c r="D16" s="655"/>
      <c r="E16" s="655"/>
      <c r="F16" s="655"/>
      <c r="G16" s="655"/>
      <c r="H16" s="655"/>
      <c r="I16" s="655"/>
      <c r="J16" s="655"/>
      <c r="K16" s="655"/>
      <c r="L16" s="655"/>
      <c r="M16" s="655"/>
      <c r="N16" s="655"/>
      <c r="O16" s="399"/>
      <c r="P16" s="399"/>
      <c r="Q16" s="399"/>
      <c r="R16" s="399"/>
      <c r="S16" s="399"/>
      <c r="T16" s="399"/>
      <c r="U16" s="65"/>
      <c r="V16" s="65"/>
      <c r="W16" s="65"/>
      <c r="AF16" s="65" t="s">
        <v>492</v>
      </c>
      <c r="AG16" s="65"/>
      <c r="AH16" s="65" t="s">
        <v>493</v>
      </c>
    </row>
    <row r="17" spans="1:35" s="66" customFormat="1" ht="19.5" customHeight="1">
      <c r="A17" s="398"/>
      <c r="B17" s="399"/>
      <c r="C17" s="399"/>
      <c r="D17" s="399"/>
      <c r="E17" s="399"/>
      <c r="F17" s="399"/>
      <c r="G17" s="399"/>
      <c r="H17" s="399"/>
      <c r="I17" s="399"/>
      <c r="J17" s="400" t="s">
        <v>494</v>
      </c>
      <c r="K17" s="656"/>
      <c r="L17" s="656"/>
      <c r="M17" s="656"/>
      <c r="N17" s="399" t="s">
        <v>495</v>
      </c>
      <c r="O17" s="403">
        <f>'Tables NEW TABLES'!K280</f>
        <v>0</v>
      </c>
      <c r="P17" s="400" t="s">
        <v>496</v>
      </c>
      <c r="Q17" s="653">
        <f>K17*O17</f>
        <v>0</v>
      </c>
      <c r="R17" s="653"/>
      <c r="S17" s="653"/>
      <c r="T17" s="402" t="s">
        <v>497</v>
      </c>
      <c r="U17" s="65"/>
      <c r="V17" s="620" t="s">
        <v>980</v>
      </c>
      <c r="W17" s="620"/>
      <c r="X17" s="620"/>
      <c r="Y17" s="620"/>
      <c r="Z17" s="620"/>
      <c r="AF17" s="65">
        <v>20.190000000000001</v>
      </c>
      <c r="AG17" s="65">
        <f>$K17*AF17</f>
        <v>0</v>
      </c>
      <c r="AH17" s="66">
        <v>12.4</v>
      </c>
      <c r="AI17" s="65">
        <f>$K17*AH17</f>
        <v>0</v>
      </c>
    </row>
    <row r="18" spans="1:35" s="186" customFormat="1" ht="3.75" customHeight="1">
      <c r="A18" s="398"/>
      <c r="B18" s="399"/>
      <c r="C18" s="399"/>
      <c r="D18" s="399"/>
      <c r="E18" s="399"/>
      <c r="F18" s="399"/>
      <c r="G18" s="399"/>
      <c r="H18" s="399"/>
      <c r="I18" s="399"/>
      <c r="J18" s="399"/>
      <c r="K18" s="399"/>
      <c r="L18" s="399"/>
      <c r="M18" s="399"/>
      <c r="N18" s="399"/>
      <c r="O18" s="399"/>
      <c r="P18" s="399"/>
      <c r="Q18" s="399"/>
      <c r="R18" s="399"/>
      <c r="S18" s="399"/>
      <c r="T18" s="399"/>
      <c r="U18" s="185"/>
      <c r="V18" s="185"/>
      <c r="W18" s="185"/>
      <c r="AF18" s="185"/>
      <c r="AG18" s="185"/>
    </row>
    <row r="19" spans="1:35" s="66" customFormat="1" ht="19.5" customHeight="1">
      <c r="A19" s="402">
        <v>3</v>
      </c>
      <c r="B19" s="655" t="s">
        <v>498</v>
      </c>
      <c r="C19" s="655"/>
      <c r="D19" s="655"/>
      <c r="E19" s="655"/>
      <c r="F19" s="655"/>
      <c r="G19" s="655"/>
      <c r="H19" s="655"/>
      <c r="I19" s="655"/>
      <c r="J19" s="655"/>
      <c r="K19" s="655"/>
      <c r="L19" s="655"/>
      <c r="M19" s="655"/>
      <c r="N19" s="399"/>
      <c r="O19" s="399"/>
      <c r="P19" s="399"/>
      <c r="Q19" s="399"/>
      <c r="R19" s="399"/>
      <c r="S19" s="399"/>
      <c r="T19" s="399"/>
      <c r="U19" s="65"/>
      <c r="V19" s="65"/>
      <c r="W19" s="65"/>
      <c r="AF19" s="65"/>
      <c r="AG19" s="65"/>
    </row>
    <row r="20" spans="1:35" s="66" customFormat="1" ht="19.5" customHeight="1">
      <c r="A20" s="402"/>
      <c r="B20" s="399" t="s">
        <v>499</v>
      </c>
      <c r="C20" s="399"/>
      <c r="D20" s="399"/>
      <c r="E20" s="399"/>
      <c r="F20" s="399"/>
      <c r="G20" s="399"/>
      <c r="H20" s="399"/>
      <c r="I20" s="399"/>
      <c r="J20" s="399"/>
      <c r="K20" s="399"/>
      <c r="L20" s="399"/>
      <c r="M20" s="399"/>
      <c r="N20" s="399"/>
      <c r="O20" s="399"/>
      <c r="P20" s="400" t="s">
        <v>500</v>
      </c>
      <c r="Q20" s="665"/>
      <c r="R20" s="666"/>
      <c r="S20" s="666"/>
      <c r="T20" s="399"/>
      <c r="U20" s="65"/>
      <c r="V20" s="65"/>
      <c r="W20" s="65"/>
      <c r="AF20" s="65"/>
      <c r="AG20" s="65"/>
    </row>
    <row r="21" spans="1:35" s="66" customFormat="1" ht="19.5" customHeight="1">
      <c r="A21" s="398"/>
      <c r="B21" s="409" t="s">
        <v>501</v>
      </c>
      <c r="C21" s="409"/>
      <c r="D21" s="409"/>
      <c r="E21" s="409"/>
      <c r="F21" s="409"/>
      <c r="G21" s="409"/>
      <c r="H21" s="409"/>
      <c r="I21" s="409"/>
      <c r="J21" s="409"/>
      <c r="K21" s="409"/>
      <c r="L21" s="409"/>
      <c r="M21" s="409"/>
      <c r="N21" s="409"/>
      <c r="O21" s="409"/>
      <c r="P21" s="409"/>
      <c r="Q21" s="409"/>
      <c r="R21" s="409"/>
      <c r="S21" s="409"/>
      <c r="T21" s="399"/>
      <c r="U21" s="65"/>
      <c r="V21" s="65"/>
      <c r="W21" s="65"/>
      <c r="AF21" s="65"/>
      <c r="AG21" s="65"/>
    </row>
    <row r="22" spans="1:35" s="66" customFormat="1" ht="19.5" customHeight="1">
      <c r="A22" s="412"/>
      <c r="B22" s="414" t="s">
        <v>502</v>
      </c>
      <c r="C22" s="664" t="s">
        <v>503</v>
      </c>
      <c r="D22" s="664"/>
      <c r="E22" s="664"/>
      <c r="F22" s="664"/>
      <c r="G22" s="664"/>
      <c r="H22" s="664"/>
      <c r="I22" s="664"/>
      <c r="J22" s="664"/>
      <c r="K22" s="664" t="s">
        <v>504</v>
      </c>
      <c r="L22" s="664"/>
      <c r="M22" s="664"/>
      <c r="N22" s="664" t="s">
        <v>505</v>
      </c>
      <c r="O22" s="664"/>
      <c r="P22" s="664"/>
      <c r="Q22" s="664" t="s">
        <v>506</v>
      </c>
      <c r="R22" s="664"/>
      <c r="S22" s="664"/>
      <c r="T22" s="408"/>
      <c r="U22" s="65"/>
      <c r="V22" s="65"/>
      <c r="W22" s="65"/>
      <c r="AF22" s="65"/>
      <c r="AG22" s="65"/>
    </row>
    <row r="23" spans="1:35" s="66" customFormat="1" ht="19.5" customHeight="1">
      <c r="A23" s="412"/>
      <c r="B23" s="415"/>
      <c r="C23" s="660"/>
      <c r="D23" s="660"/>
      <c r="E23" s="660"/>
      <c r="F23" s="660"/>
      <c r="G23" s="660"/>
      <c r="H23" s="660"/>
      <c r="I23" s="660"/>
      <c r="J23" s="660"/>
      <c r="K23" s="663"/>
      <c r="L23" s="663"/>
      <c r="M23" s="663"/>
      <c r="N23" s="662" t="str">
        <f>'Tables NEW TABLES'!P283</f>
        <v/>
      </c>
      <c r="O23" s="662"/>
      <c r="P23" s="662"/>
      <c r="Q23" s="654" t="str">
        <f>IF(N23="","",K23*N23)</f>
        <v/>
      </c>
      <c r="R23" s="654"/>
      <c r="S23" s="654"/>
      <c r="T23" s="408"/>
      <c r="U23" s="65"/>
      <c r="V23" s="620" t="s">
        <v>981</v>
      </c>
      <c r="W23" s="620"/>
      <c r="X23" s="620"/>
      <c r="Y23" s="620"/>
      <c r="Z23" s="620"/>
      <c r="AF23" s="187" t="str">
        <f>'Tables NEW TABLES'!Q283</f>
        <v/>
      </c>
      <c r="AG23" s="188">
        <f t="shared" ref="AG23:AG31" si="0">IF(N23&lt;&gt;"",$K23*AF23,0)</f>
        <v>0</v>
      </c>
      <c r="AH23" s="187" t="str">
        <f>'Tables NEW TABLES'!R283</f>
        <v/>
      </c>
      <c r="AI23" s="188">
        <f t="shared" ref="AI23:AI31" si="1">IF(N23&lt;&gt;"",$K23*AH23,0)</f>
        <v>0</v>
      </c>
    </row>
    <row r="24" spans="1:35" s="66" customFormat="1" ht="19.5" customHeight="1">
      <c r="A24" s="412"/>
      <c r="B24" s="415"/>
      <c r="C24" s="660"/>
      <c r="D24" s="660"/>
      <c r="E24" s="660"/>
      <c r="F24" s="660"/>
      <c r="G24" s="660"/>
      <c r="H24" s="660"/>
      <c r="I24" s="660"/>
      <c r="J24" s="660"/>
      <c r="K24" s="663"/>
      <c r="L24" s="663"/>
      <c r="M24" s="663"/>
      <c r="N24" s="662" t="str">
        <f>'Tables NEW TABLES'!P284</f>
        <v/>
      </c>
      <c r="O24" s="662"/>
      <c r="P24" s="662"/>
      <c r="Q24" s="654" t="str">
        <f t="shared" ref="Q24:Q31" si="2">IF(N24="","",K24*N24)</f>
        <v/>
      </c>
      <c r="R24" s="654"/>
      <c r="S24" s="654"/>
      <c r="T24" s="408"/>
      <c r="U24" s="65"/>
      <c r="V24" s="620"/>
      <c r="W24" s="620"/>
      <c r="X24" s="620"/>
      <c r="Y24" s="620"/>
      <c r="Z24" s="620"/>
      <c r="AF24" s="187" t="str">
        <f>'Tables NEW TABLES'!Q284</f>
        <v/>
      </c>
      <c r="AG24" s="188">
        <f t="shared" si="0"/>
        <v>0</v>
      </c>
      <c r="AH24" s="187" t="str">
        <f>'Tables NEW TABLES'!R284</f>
        <v/>
      </c>
      <c r="AI24" s="188">
        <f t="shared" si="1"/>
        <v>0</v>
      </c>
    </row>
    <row r="25" spans="1:35" s="66" customFormat="1" ht="19.5" customHeight="1">
      <c r="A25" s="412"/>
      <c r="B25" s="415"/>
      <c r="C25" s="660"/>
      <c r="D25" s="660"/>
      <c r="E25" s="660"/>
      <c r="F25" s="660"/>
      <c r="G25" s="660"/>
      <c r="H25" s="660"/>
      <c r="I25" s="660"/>
      <c r="J25" s="660"/>
      <c r="K25" s="663"/>
      <c r="L25" s="663"/>
      <c r="M25" s="663"/>
      <c r="N25" s="662" t="str">
        <f>'Tables NEW TABLES'!P285</f>
        <v/>
      </c>
      <c r="O25" s="662"/>
      <c r="P25" s="662"/>
      <c r="Q25" s="654" t="str">
        <f t="shared" si="2"/>
        <v/>
      </c>
      <c r="R25" s="654"/>
      <c r="S25" s="654"/>
      <c r="T25" s="408"/>
      <c r="U25" s="65"/>
      <c r="V25" s="620"/>
      <c r="W25" s="620"/>
      <c r="X25" s="620"/>
      <c r="Y25" s="620"/>
      <c r="Z25" s="620"/>
      <c r="AF25" s="187" t="str">
        <f>'Tables NEW TABLES'!Q285</f>
        <v/>
      </c>
      <c r="AG25" s="188">
        <f t="shared" si="0"/>
        <v>0</v>
      </c>
      <c r="AH25" s="187" t="str">
        <f>'Tables NEW TABLES'!R285</f>
        <v/>
      </c>
      <c r="AI25" s="188">
        <f t="shared" si="1"/>
        <v>0</v>
      </c>
    </row>
    <row r="26" spans="1:35" s="66" customFormat="1" ht="19.5" customHeight="1">
      <c r="A26" s="412"/>
      <c r="B26" s="415"/>
      <c r="C26" s="660"/>
      <c r="D26" s="660"/>
      <c r="E26" s="660"/>
      <c r="F26" s="660"/>
      <c r="G26" s="660"/>
      <c r="H26" s="660"/>
      <c r="I26" s="660"/>
      <c r="J26" s="660"/>
      <c r="K26" s="661"/>
      <c r="L26" s="661"/>
      <c r="M26" s="661"/>
      <c r="N26" s="662" t="str">
        <f>'Tables NEW TABLES'!P286</f>
        <v/>
      </c>
      <c r="O26" s="662"/>
      <c r="P26" s="662"/>
      <c r="Q26" s="654" t="str">
        <f t="shared" si="2"/>
        <v/>
      </c>
      <c r="R26" s="654"/>
      <c r="S26" s="654"/>
      <c r="T26" s="408"/>
      <c r="U26" s="65"/>
      <c r="V26" s="620"/>
      <c r="W26" s="620"/>
      <c r="X26" s="620"/>
      <c r="Y26" s="620"/>
      <c r="Z26" s="620"/>
      <c r="AF26" s="187" t="str">
        <f>'Tables NEW TABLES'!Q286</f>
        <v/>
      </c>
      <c r="AG26" s="188">
        <f t="shared" si="0"/>
        <v>0</v>
      </c>
      <c r="AH26" s="187" t="str">
        <f>'Tables NEW TABLES'!R286</f>
        <v/>
      </c>
      <c r="AI26" s="188">
        <f t="shared" si="1"/>
        <v>0</v>
      </c>
    </row>
    <row r="27" spans="1:35" s="66" customFormat="1" ht="19.5" customHeight="1">
      <c r="A27" s="412"/>
      <c r="B27" s="415"/>
      <c r="C27" s="660"/>
      <c r="D27" s="660"/>
      <c r="E27" s="660"/>
      <c r="F27" s="660"/>
      <c r="G27" s="660"/>
      <c r="H27" s="660"/>
      <c r="I27" s="660"/>
      <c r="J27" s="660"/>
      <c r="K27" s="661"/>
      <c r="L27" s="661"/>
      <c r="M27" s="661"/>
      <c r="N27" s="662" t="str">
        <f>'Tables NEW TABLES'!P287</f>
        <v/>
      </c>
      <c r="O27" s="662"/>
      <c r="P27" s="662"/>
      <c r="Q27" s="654" t="str">
        <f t="shared" si="2"/>
        <v/>
      </c>
      <c r="R27" s="654"/>
      <c r="S27" s="654"/>
      <c r="T27" s="408"/>
      <c r="U27" s="65"/>
      <c r="V27" s="620"/>
      <c r="W27" s="620"/>
      <c r="X27" s="620"/>
      <c r="Y27" s="620"/>
      <c r="Z27" s="620"/>
      <c r="AF27" s="187" t="str">
        <f>'Tables NEW TABLES'!Q287</f>
        <v/>
      </c>
      <c r="AG27" s="188">
        <f t="shared" si="0"/>
        <v>0</v>
      </c>
      <c r="AH27" s="187" t="str">
        <f>'Tables NEW TABLES'!R287</f>
        <v/>
      </c>
      <c r="AI27" s="188">
        <f t="shared" si="1"/>
        <v>0</v>
      </c>
    </row>
    <row r="28" spans="1:35" s="66" customFormat="1" ht="19.5" customHeight="1">
      <c r="A28" s="412"/>
      <c r="B28" s="415"/>
      <c r="C28" s="660"/>
      <c r="D28" s="660"/>
      <c r="E28" s="660"/>
      <c r="F28" s="660"/>
      <c r="G28" s="660"/>
      <c r="H28" s="660"/>
      <c r="I28" s="660"/>
      <c r="J28" s="660"/>
      <c r="K28" s="661"/>
      <c r="L28" s="661"/>
      <c r="M28" s="661"/>
      <c r="N28" s="662" t="str">
        <f>'Tables NEW TABLES'!P288</f>
        <v/>
      </c>
      <c r="O28" s="662"/>
      <c r="P28" s="662"/>
      <c r="Q28" s="654" t="str">
        <f t="shared" si="2"/>
        <v/>
      </c>
      <c r="R28" s="654"/>
      <c r="S28" s="654"/>
      <c r="T28" s="408"/>
      <c r="U28" s="65"/>
      <c r="V28" s="620"/>
      <c r="W28" s="620"/>
      <c r="X28" s="620"/>
      <c r="Y28" s="620"/>
      <c r="Z28" s="620"/>
      <c r="AF28" s="187" t="str">
        <f>'Tables NEW TABLES'!Q288</f>
        <v/>
      </c>
      <c r="AG28" s="188">
        <f t="shared" si="0"/>
        <v>0</v>
      </c>
      <c r="AH28" s="187" t="str">
        <f>'Tables NEW TABLES'!R288</f>
        <v/>
      </c>
      <c r="AI28" s="188">
        <f t="shared" si="1"/>
        <v>0</v>
      </c>
    </row>
    <row r="29" spans="1:35" s="66" customFormat="1" ht="19.5" customHeight="1">
      <c r="A29" s="412"/>
      <c r="B29" s="415"/>
      <c r="C29" s="660"/>
      <c r="D29" s="660"/>
      <c r="E29" s="660"/>
      <c r="F29" s="660"/>
      <c r="G29" s="660"/>
      <c r="H29" s="660"/>
      <c r="I29" s="660"/>
      <c r="J29" s="660"/>
      <c r="K29" s="661"/>
      <c r="L29" s="661"/>
      <c r="M29" s="661"/>
      <c r="N29" s="662" t="str">
        <f>'Tables NEW TABLES'!P289</f>
        <v/>
      </c>
      <c r="O29" s="662"/>
      <c r="P29" s="662"/>
      <c r="Q29" s="654" t="str">
        <f t="shared" si="2"/>
        <v/>
      </c>
      <c r="R29" s="654"/>
      <c r="S29" s="654"/>
      <c r="T29" s="408"/>
      <c r="U29" s="65"/>
      <c r="V29" s="620"/>
      <c r="W29" s="620"/>
      <c r="X29" s="620"/>
      <c r="Y29" s="620"/>
      <c r="Z29" s="620"/>
      <c r="AF29" s="187" t="str">
        <f>'Tables NEW TABLES'!Q289</f>
        <v/>
      </c>
      <c r="AG29" s="188">
        <f t="shared" si="0"/>
        <v>0</v>
      </c>
      <c r="AH29" s="187" t="str">
        <f>'Tables NEW TABLES'!R289</f>
        <v/>
      </c>
      <c r="AI29" s="188">
        <f t="shared" si="1"/>
        <v>0</v>
      </c>
    </row>
    <row r="30" spans="1:35" s="66" customFormat="1" ht="19.5" customHeight="1">
      <c r="A30" s="412"/>
      <c r="B30" s="415"/>
      <c r="C30" s="660"/>
      <c r="D30" s="660"/>
      <c r="E30" s="660"/>
      <c r="F30" s="660"/>
      <c r="G30" s="660"/>
      <c r="H30" s="660"/>
      <c r="I30" s="660"/>
      <c r="J30" s="660"/>
      <c r="K30" s="661"/>
      <c r="L30" s="661"/>
      <c r="M30" s="661"/>
      <c r="N30" s="662" t="str">
        <f>'Tables NEW TABLES'!P290</f>
        <v/>
      </c>
      <c r="O30" s="662"/>
      <c r="P30" s="662"/>
      <c r="Q30" s="654" t="str">
        <f t="shared" si="2"/>
        <v/>
      </c>
      <c r="R30" s="654"/>
      <c r="S30" s="654"/>
      <c r="T30" s="408"/>
      <c r="U30" s="65"/>
      <c r="V30" s="620"/>
      <c r="W30" s="620"/>
      <c r="X30" s="620"/>
      <c r="Y30" s="620"/>
      <c r="Z30" s="620"/>
      <c r="AF30" s="187" t="str">
        <f>'Tables NEW TABLES'!Q290</f>
        <v/>
      </c>
      <c r="AG30" s="188">
        <f t="shared" si="0"/>
        <v>0</v>
      </c>
      <c r="AH30" s="187" t="str">
        <f>'Tables NEW TABLES'!R290</f>
        <v/>
      </c>
      <c r="AI30" s="188">
        <f t="shared" si="1"/>
        <v>0</v>
      </c>
    </row>
    <row r="31" spans="1:35" s="66" customFormat="1" ht="19.5" customHeight="1">
      <c r="A31" s="412"/>
      <c r="B31" s="415"/>
      <c r="C31" s="660"/>
      <c r="D31" s="660"/>
      <c r="E31" s="660"/>
      <c r="F31" s="660"/>
      <c r="G31" s="660"/>
      <c r="H31" s="660"/>
      <c r="I31" s="660"/>
      <c r="J31" s="660"/>
      <c r="K31" s="661"/>
      <c r="L31" s="661"/>
      <c r="M31" s="661"/>
      <c r="N31" s="662" t="str">
        <f>'Tables NEW TABLES'!P291</f>
        <v/>
      </c>
      <c r="O31" s="662"/>
      <c r="P31" s="662"/>
      <c r="Q31" s="654" t="str">
        <f t="shared" si="2"/>
        <v/>
      </c>
      <c r="R31" s="654"/>
      <c r="S31" s="654"/>
      <c r="T31" s="408"/>
      <c r="U31" s="65"/>
      <c r="V31" s="620"/>
      <c r="W31" s="620"/>
      <c r="X31" s="620"/>
      <c r="Y31" s="620"/>
      <c r="Z31" s="620"/>
      <c r="AF31" s="187" t="str">
        <f>'Tables NEW TABLES'!Q291</f>
        <v/>
      </c>
      <c r="AG31" s="188">
        <f t="shared" si="0"/>
        <v>0</v>
      </c>
      <c r="AH31" s="187" t="str">
        <f>'Tables NEW TABLES'!R291</f>
        <v/>
      </c>
      <c r="AI31" s="188">
        <f t="shared" si="1"/>
        <v>0</v>
      </c>
    </row>
    <row r="32" spans="1:35" s="66" customFormat="1" ht="19.5" customHeight="1">
      <c r="A32" s="412"/>
      <c r="B32" s="416"/>
      <c r="C32" s="416"/>
      <c r="D32" s="416"/>
      <c r="E32" s="416"/>
      <c r="F32" s="416"/>
      <c r="G32" s="416"/>
      <c r="H32" s="416"/>
      <c r="I32" s="416"/>
      <c r="J32" s="416"/>
      <c r="K32" s="416"/>
      <c r="L32" s="416"/>
      <c r="M32" s="416"/>
      <c r="N32" s="416"/>
      <c r="O32" s="416"/>
      <c r="P32" s="417" t="s">
        <v>507</v>
      </c>
      <c r="Q32" s="654">
        <f>SUM(Q23:S31)</f>
        <v>0</v>
      </c>
      <c r="R32" s="654"/>
      <c r="S32" s="654"/>
      <c r="T32" s="413" t="s">
        <v>508</v>
      </c>
      <c r="U32" s="65"/>
      <c r="V32" s="65"/>
      <c r="W32" s="65"/>
      <c r="AF32" s="189">
        <f>SUM(AF23:AF31)</f>
        <v>0</v>
      </c>
      <c r="AG32" s="189">
        <f>SUM(AG23:AG31)</f>
        <v>0</v>
      </c>
      <c r="AH32" s="189">
        <f>SUM(AH23:AH31)</f>
        <v>0</v>
      </c>
      <c r="AI32" s="189">
        <f>SUM(AI23:AI31)</f>
        <v>0</v>
      </c>
    </row>
    <row r="33" spans="1:35" s="186" customFormat="1" ht="3.75" customHeight="1">
      <c r="A33" s="398"/>
      <c r="B33" s="410"/>
      <c r="C33" s="410"/>
      <c r="D33" s="410"/>
      <c r="E33" s="410"/>
      <c r="F33" s="410"/>
      <c r="G33" s="410"/>
      <c r="H33" s="410"/>
      <c r="I33" s="410"/>
      <c r="J33" s="410"/>
      <c r="K33" s="410"/>
      <c r="L33" s="410"/>
      <c r="M33" s="410"/>
      <c r="N33" s="410"/>
      <c r="O33" s="410"/>
      <c r="P33" s="410"/>
      <c r="Q33" s="410"/>
      <c r="R33" s="410"/>
      <c r="S33" s="410"/>
      <c r="T33" s="399"/>
      <c r="U33" s="185"/>
      <c r="V33" s="185"/>
      <c r="W33" s="185"/>
      <c r="AF33" s="185"/>
      <c r="AG33" s="185"/>
    </row>
    <row r="34" spans="1:35" s="66" customFormat="1" ht="3.75" customHeight="1">
      <c r="A34" s="398"/>
      <c r="B34" s="399"/>
      <c r="C34" s="399"/>
      <c r="D34" s="399"/>
      <c r="E34" s="399"/>
      <c r="F34" s="399"/>
      <c r="G34" s="399"/>
      <c r="H34" s="399"/>
      <c r="I34" s="399"/>
      <c r="J34" s="399"/>
      <c r="K34" s="399"/>
      <c r="L34" s="399"/>
      <c r="M34" s="399"/>
      <c r="N34" s="399"/>
      <c r="O34" s="399"/>
      <c r="P34" s="399"/>
      <c r="Q34" s="399"/>
      <c r="R34" s="399"/>
      <c r="S34" s="399"/>
      <c r="T34" s="399"/>
      <c r="U34" s="65"/>
      <c r="V34" s="65"/>
      <c r="W34" s="65"/>
      <c r="AF34" s="65"/>
      <c r="AG34" s="65"/>
    </row>
    <row r="35" spans="1:35" s="66" customFormat="1" ht="19.5" customHeight="1">
      <c r="A35" s="402">
        <v>4</v>
      </c>
      <c r="B35" s="655" t="s">
        <v>509</v>
      </c>
      <c r="C35" s="655"/>
      <c r="D35" s="655"/>
      <c r="E35" s="655"/>
      <c r="F35" s="655"/>
      <c r="G35" s="655"/>
      <c r="H35" s="399"/>
      <c r="I35" s="399"/>
      <c r="J35" s="399"/>
      <c r="K35" s="399"/>
      <c r="L35" s="399"/>
      <c r="M35" s="399"/>
      <c r="N35" s="399"/>
      <c r="O35" s="399"/>
      <c r="P35" s="399"/>
      <c r="Q35" s="399"/>
      <c r="R35" s="399"/>
      <c r="S35" s="399"/>
      <c r="T35" s="402"/>
      <c r="U35" s="65"/>
      <c r="V35" s="65"/>
      <c r="W35" s="65"/>
      <c r="AF35" s="65"/>
      <c r="AG35" s="65"/>
    </row>
    <row r="36" spans="1:35" s="66" customFormat="1" ht="25.05" customHeight="1">
      <c r="A36" s="398"/>
      <c r="B36" s="399"/>
      <c r="C36" s="399"/>
      <c r="D36" s="399"/>
      <c r="E36" s="399"/>
      <c r="F36" s="399"/>
      <c r="G36" s="399"/>
      <c r="H36" s="399"/>
      <c r="I36" s="399"/>
      <c r="J36" s="400" t="s">
        <v>494</v>
      </c>
      <c r="K36" s="656"/>
      <c r="L36" s="656"/>
      <c r="M36" s="656"/>
      <c r="N36" s="399" t="s">
        <v>495</v>
      </c>
      <c r="O36" s="403">
        <f>'Tables NEW TABLES'!K280</f>
        <v>0</v>
      </c>
      <c r="P36" s="400" t="s">
        <v>510</v>
      </c>
      <c r="Q36" s="653">
        <f>K36*O36</f>
        <v>0</v>
      </c>
      <c r="R36" s="653"/>
      <c r="S36" s="653"/>
      <c r="T36" s="402" t="s">
        <v>511</v>
      </c>
      <c r="U36" s="65"/>
      <c r="V36" s="657" t="s">
        <v>982</v>
      </c>
      <c r="W36" s="658"/>
      <c r="X36" s="658"/>
      <c r="Y36" s="658"/>
      <c r="Z36" s="659"/>
      <c r="AF36" s="65">
        <v>20.190000000000001</v>
      </c>
      <c r="AG36" s="65">
        <f>$K$36*AF36</f>
        <v>0</v>
      </c>
      <c r="AH36" s="66">
        <v>12.4</v>
      </c>
      <c r="AI36" s="65">
        <f>$K$36*AH36</f>
        <v>0</v>
      </c>
    </row>
    <row r="37" spans="1:35" s="186" customFormat="1" ht="3.75" customHeight="1">
      <c r="A37" s="398"/>
      <c r="B37" s="399"/>
      <c r="C37" s="399"/>
      <c r="D37" s="399"/>
      <c r="E37" s="399"/>
      <c r="F37" s="399"/>
      <c r="G37" s="399"/>
      <c r="H37" s="399"/>
      <c r="I37" s="399"/>
      <c r="J37" s="399"/>
      <c r="K37" s="399"/>
      <c r="L37" s="399"/>
      <c r="M37" s="399"/>
      <c r="N37" s="399"/>
      <c r="O37" s="399"/>
      <c r="P37" s="399"/>
      <c r="Q37" s="399"/>
      <c r="R37" s="399"/>
      <c r="S37" s="399"/>
      <c r="T37" s="399"/>
      <c r="U37" s="185"/>
      <c r="V37" s="185"/>
      <c r="W37" s="185"/>
      <c r="AF37" s="185"/>
      <c r="AG37" s="185"/>
    </row>
    <row r="38" spans="1:35" s="66" customFormat="1" ht="19.5" customHeight="1">
      <c r="A38" s="402">
        <v>5</v>
      </c>
      <c r="B38" s="655" t="s">
        <v>512</v>
      </c>
      <c r="C38" s="655"/>
      <c r="D38" s="655"/>
      <c r="E38" s="655"/>
      <c r="F38" s="655"/>
      <c r="G38" s="655"/>
      <c r="H38" s="399"/>
      <c r="I38" s="399"/>
      <c r="J38" s="399"/>
      <c r="K38" s="399"/>
      <c r="L38" s="399"/>
      <c r="M38" s="399"/>
      <c r="N38" s="399"/>
      <c r="O38" s="399"/>
      <c r="P38" s="399"/>
      <c r="Q38" s="399"/>
      <c r="R38" s="399"/>
      <c r="S38" s="399"/>
      <c r="T38" s="400"/>
      <c r="U38" s="65"/>
      <c r="V38" s="65"/>
      <c r="W38" s="65"/>
      <c r="AF38" s="65"/>
      <c r="AG38" s="65"/>
    </row>
    <row r="39" spans="1:35" s="66" customFormat="1" ht="19.5" customHeight="1">
      <c r="A39" s="398"/>
      <c r="B39" s="399"/>
      <c r="C39" s="399"/>
      <c r="D39" s="399"/>
      <c r="E39" s="399"/>
      <c r="F39" s="399"/>
      <c r="G39" s="399"/>
      <c r="H39" s="399"/>
      <c r="I39" s="399"/>
      <c r="J39" s="399"/>
      <c r="K39" s="399"/>
      <c r="L39" s="399"/>
      <c r="M39" s="399"/>
      <c r="N39" s="399"/>
      <c r="O39" s="399"/>
      <c r="P39" s="401" t="s">
        <v>513</v>
      </c>
      <c r="Q39" s="653">
        <f>Q17+Q32+Q36</f>
        <v>0</v>
      </c>
      <c r="R39" s="653"/>
      <c r="S39" s="653"/>
      <c r="T39" s="401" t="s">
        <v>435</v>
      </c>
      <c r="U39" s="65"/>
      <c r="V39" s="620" t="s">
        <v>514</v>
      </c>
      <c r="W39" s="620"/>
      <c r="X39" s="620"/>
      <c r="Y39" s="620"/>
      <c r="Z39" s="620"/>
      <c r="AB39" s="79"/>
      <c r="AC39" s="79"/>
      <c r="AF39" s="65"/>
      <c r="AG39" s="190">
        <f>AG17+AG32+AG36</f>
        <v>0</v>
      </c>
      <c r="AH39" s="79"/>
      <c r="AI39" s="190">
        <f>AI17+AI32+AI36</f>
        <v>0</v>
      </c>
    </row>
    <row r="40" spans="1:35" s="66" customFormat="1" ht="19.5" customHeight="1">
      <c r="A40" s="398"/>
      <c r="B40" s="399"/>
      <c r="C40" s="399"/>
      <c r="D40" s="399"/>
      <c r="E40" s="399"/>
      <c r="F40" s="399"/>
      <c r="G40" s="399"/>
      <c r="H40" s="399"/>
      <c r="I40" s="399"/>
      <c r="J40" s="399"/>
      <c r="K40" s="399"/>
      <c r="L40" s="399"/>
      <c r="M40" s="399"/>
      <c r="N40" s="399"/>
      <c r="O40" s="399"/>
      <c r="P40" s="399"/>
      <c r="Q40" s="399"/>
      <c r="R40" s="399"/>
      <c r="S40" s="400"/>
      <c r="T40" s="399"/>
      <c r="U40" s="65"/>
      <c r="V40" s="65"/>
      <c r="W40" s="65"/>
      <c r="X40" s="65"/>
      <c r="Y40" s="65"/>
    </row>
    <row r="41" spans="1:35" s="66" customFormat="1" ht="13.5" customHeight="1">
      <c r="A41" s="70"/>
      <c r="B41" s="65"/>
      <c r="C41" s="65"/>
      <c r="D41" s="65"/>
      <c r="E41" s="65"/>
      <c r="F41" s="65"/>
      <c r="G41" s="65"/>
      <c r="H41" s="65"/>
      <c r="I41" s="65"/>
      <c r="J41" s="65"/>
      <c r="K41" s="65"/>
      <c r="L41" s="65"/>
      <c r="M41" s="65"/>
      <c r="N41" s="65"/>
      <c r="O41" s="65"/>
      <c r="P41" s="65"/>
      <c r="Q41" s="65"/>
      <c r="R41" s="65"/>
      <c r="S41" s="65"/>
      <c r="T41" s="65"/>
      <c r="U41" s="65"/>
      <c r="V41" s="65"/>
      <c r="W41" s="65"/>
      <c r="X41" s="65"/>
      <c r="Y41" s="65"/>
    </row>
    <row r="42" spans="1:35" s="66" customFormat="1" ht="13.5" customHeight="1">
      <c r="A42" s="70"/>
      <c r="B42" s="65"/>
      <c r="C42" s="65"/>
      <c r="D42" s="65"/>
      <c r="E42" s="65"/>
      <c r="F42" s="65"/>
      <c r="G42" s="65"/>
      <c r="H42" s="65"/>
      <c r="I42" s="65"/>
      <c r="J42" s="65"/>
      <c r="K42" s="65"/>
      <c r="L42" s="65"/>
      <c r="M42" s="65"/>
      <c r="N42" s="65"/>
      <c r="O42" s="65"/>
      <c r="P42" s="76"/>
      <c r="Q42" s="65"/>
      <c r="R42" s="65"/>
      <c r="S42" s="65"/>
      <c r="T42" s="70"/>
      <c r="U42" s="65"/>
      <c r="V42" s="65"/>
      <c r="W42" s="65"/>
      <c r="X42" s="65"/>
      <c r="Y42" s="65"/>
    </row>
    <row r="43" spans="1:35" s="66" customFormat="1" ht="13.5" customHeight="1">
      <c r="A43" s="70"/>
      <c r="B43" s="65"/>
      <c r="C43" s="65"/>
      <c r="D43" s="65"/>
      <c r="E43" s="65"/>
      <c r="F43" s="65"/>
      <c r="G43" s="65"/>
      <c r="H43" s="65"/>
      <c r="I43" s="65"/>
      <c r="J43" s="65"/>
      <c r="K43" s="65"/>
      <c r="L43" s="65"/>
      <c r="M43" s="65"/>
      <c r="N43" s="65"/>
      <c r="O43" s="65"/>
      <c r="P43" s="76"/>
      <c r="Q43" s="65"/>
      <c r="R43" s="65"/>
      <c r="S43" s="65"/>
      <c r="T43" s="70"/>
      <c r="U43" s="65"/>
      <c r="V43" s="65"/>
      <c r="W43" s="65"/>
      <c r="X43" s="65"/>
      <c r="Y43" s="65"/>
    </row>
    <row r="44" spans="1:35" s="66" customFormat="1" ht="13.5" customHeight="1">
      <c r="A44" s="70"/>
      <c r="B44" s="65"/>
      <c r="C44" s="65"/>
      <c r="D44" s="65"/>
      <c r="E44" s="65"/>
      <c r="F44" s="65"/>
      <c r="G44" s="65"/>
      <c r="H44" s="65"/>
      <c r="I44" s="65"/>
      <c r="J44" s="65"/>
      <c r="K44" s="65"/>
      <c r="L44" s="65"/>
      <c r="M44" s="65"/>
      <c r="N44" s="65"/>
      <c r="O44" s="65"/>
      <c r="P44" s="65"/>
      <c r="Q44" s="65"/>
      <c r="R44" s="65"/>
      <c r="S44" s="65"/>
      <c r="T44" s="70"/>
      <c r="U44" s="65"/>
      <c r="V44" s="65"/>
      <c r="W44" s="65"/>
      <c r="X44" s="65"/>
      <c r="Y44" s="65"/>
    </row>
    <row r="45" spans="1:35" s="66" customFormat="1"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row>
    <row r="46" spans="1:35" s="74" customFormat="1">
      <c r="A46" s="65"/>
      <c r="B46" s="65"/>
      <c r="C46" s="65"/>
      <c r="D46" s="65"/>
      <c r="E46" s="65"/>
      <c r="F46" s="65"/>
      <c r="G46" s="65"/>
      <c r="H46" s="65"/>
      <c r="I46" s="65"/>
      <c r="J46" s="65"/>
      <c r="K46" s="65"/>
      <c r="L46" s="65"/>
      <c r="M46" s="65"/>
      <c r="N46" s="65"/>
      <c r="O46" s="65"/>
      <c r="P46" s="65"/>
      <c r="Q46" s="65"/>
      <c r="R46" s="65"/>
      <c r="S46" s="65"/>
      <c r="T46" s="65"/>
      <c r="U46" s="65"/>
      <c r="V46" s="65"/>
      <c r="W46" s="65"/>
      <c r="X46" s="65"/>
      <c r="Y46" s="65"/>
    </row>
    <row r="47" spans="1:35">
      <c r="A47" s="63"/>
      <c r="B47" s="63"/>
      <c r="C47" s="63"/>
      <c r="D47" s="63"/>
      <c r="E47" s="63"/>
      <c r="F47" s="63"/>
      <c r="G47" s="63"/>
      <c r="H47" s="63"/>
      <c r="I47" s="63"/>
      <c r="J47" s="63"/>
      <c r="K47" s="63"/>
      <c r="L47" s="63"/>
      <c r="M47" s="63"/>
      <c r="N47" s="63"/>
      <c r="O47" s="63"/>
      <c r="P47" s="63"/>
      <c r="Q47" s="63"/>
      <c r="R47" s="63"/>
      <c r="S47" s="63"/>
      <c r="T47" s="63"/>
      <c r="U47" s="63"/>
      <c r="V47" s="63"/>
      <c r="W47" s="63"/>
      <c r="X47" s="63"/>
      <c r="Y47" s="63"/>
    </row>
    <row r="48" spans="1:35">
      <c r="A48" s="63"/>
      <c r="B48" s="63"/>
      <c r="C48" s="63"/>
      <c r="D48" s="63"/>
      <c r="E48" s="63"/>
      <c r="F48" s="63"/>
      <c r="G48" s="63"/>
      <c r="H48" s="63"/>
      <c r="I48" s="63"/>
      <c r="J48" s="63"/>
      <c r="K48" s="63"/>
      <c r="L48" s="63"/>
      <c r="M48" s="63"/>
      <c r="N48" s="63"/>
      <c r="O48" s="63"/>
      <c r="P48" s="63"/>
      <c r="Q48" s="63"/>
      <c r="R48" s="63"/>
      <c r="S48" s="63"/>
      <c r="T48" s="63"/>
      <c r="U48" s="63"/>
      <c r="V48" s="63"/>
      <c r="W48" s="63"/>
      <c r="X48" s="63"/>
      <c r="Y48" s="63"/>
    </row>
    <row r="49" spans="1:25">
      <c r="A49" s="63"/>
      <c r="B49" s="63"/>
      <c r="C49" s="63"/>
      <c r="D49" s="63"/>
      <c r="E49" s="63"/>
      <c r="F49" s="63"/>
      <c r="G49" s="63"/>
      <c r="H49" s="63"/>
      <c r="I49" s="63"/>
      <c r="J49" s="63"/>
      <c r="K49" s="63"/>
      <c r="L49" s="63"/>
      <c r="M49" s="63"/>
      <c r="N49" s="63"/>
      <c r="O49" s="63"/>
      <c r="P49" s="63"/>
      <c r="Q49" s="63"/>
      <c r="R49" s="63"/>
      <c r="S49" s="63"/>
      <c r="T49" s="63"/>
      <c r="U49" s="63"/>
      <c r="V49" s="63"/>
      <c r="W49" s="63"/>
      <c r="X49" s="63"/>
      <c r="Y49" s="63"/>
    </row>
    <row r="50" spans="1:25">
      <c r="A50" s="63"/>
      <c r="B50" s="63"/>
      <c r="C50" s="63"/>
      <c r="D50" s="63"/>
      <c r="E50" s="63"/>
      <c r="F50" s="63"/>
      <c r="G50" s="63"/>
      <c r="H50" s="63"/>
      <c r="I50" s="63"/>
      <c r="J50" s="63"/>
      <c r="K50" s="63"/>
      <c r="L50" s="63"/>
      <c r="M50" s="63"/>
      <c r="N50" s="63"/>
      <c r="O50" s="63"/>
      <c r="P50" s="63"/>
      <c r="Q50" s="63"/>
      <c r="R50" s="63"/>
      <c r="S50" s="63"/>
      <c r="T50" s="63"/>
      <c r="U50" s="63"/>
      <c r="V50" s="63"/>
      <c r="W50" s="63"/>
      <c r="X50" s="63"/>
      <c r="Y50" s="63"/>
    </row>
    <row r="51" spans="1:25">
      <c r="A51" s="63"/>
      <c r="B51" s="63"/>
      <c r="C51" s="63"/>
      <c r="D51" s="63"/>
      <c r="E51" s="63"/>
      <c r="F51" s="63"/>
      <c r="G51" s="63"/>
      <c r="H51" s="63"/>
      <c r="I51" s="63"/>
      <c r="J51" s="63"/>
      <c r="K51" s="63"/>
      <c r="L51" s="63"/>
      <c r="M51" s="63"/>
      <c r="N51" s="63"/>
      <c r="O51" s="63"/>
      <c r="P51" s="63"/>
      <c r="Q51" s="63"/>
      <c r="R51" s="63"/>
      <c r="S51" s="63"/>
      <c r="T51" s="63"/>
      <c r="U51" s="63"/>
      <c r="V51" s="63"/>
      <c r="W51" s="63"/>
      <c r="X51" s="63"/>
      <c r="Y51" s="63"/>
    </row>
    <row r="52" spans="1:25" ht="12.6"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row>
    <row r="53" spans="1:25" hidden="1">
      <c r="A53" s="65">
        <v>0</v>
      </c>
      <c r="B53" s="63"/>
      <c r="C53" s="63"/>
      <c r="D53" s="63"/>
      <c r="E53" s="63" t="s">
        <v>515</v>
      </c>
      <c r="F53" s="63"/>
      <c r="G53" s="63"/>
      <c r="H53" s="63"/>
      <c r="I53" s="63"/>
      <c r="J53" s="63"/>
      <c r="K53" s="63"/>
      <c r="L53" s="63"/>
      <c r="M53" s="63"/>
      <c r="N53" s="63"/>
      <c r="O53" s="63"/>
      <c r="P53" s="63"/>
      <c r="Q53" s="63"/>
      <c r="R53" s="63"/>
      <c r="S53" s="63"/>
      <c r="T53" s="63"/>
      <c r="U53" s="63"/>
      <c r="V53" s="63"/>
      <c r="W53" s="63"/>
      <c r="X53" s="63"/>
      <c r="Y53" s="63"/>
    </row>
    <row r="54" spans="1:25" hidden="1">
      <c r="A54" s="65">
        <v>1</v>
      </c>
      <c r="B54" s="63"/>
      <c r="C54" s="63"/>
      <c r="D54" s="63"/>
      <c r="E54" s="63" t="s">
        <v>516</v>
      </c>
      <c r="F54" s="63"/>
      <c r="G54" s="63"/>
      <c r="H54" s="63"/>
      <c r="I54" s="63"/>
      <c r="J54" s="63"/>
      <c r="K54" s="63"/>
      <c r="L54" s="63"/>
      <c r="M54" s="63"/>
      <c r="N54" s="63"/>
      <c r="O54" s="63"/>
      <c r="P54" s="63"/>
      <c r="Q54" s="63"/>
      <c r="R54" s="63"/>
      <c r="S54" s="63"/>
      <c r="T54" s="63"/>
      <c r="U54" s="63"/>
      <c r="V54" s="63"/>
      <c r="W54" s="63"/>
      <c r="X54" s="63"/>
      <c r="Y54" s="63"/>
    </row>
    <row r="55" spans="1:25" hidden="1">
      <c r="A55" s="65">
        <v>2</v>
      </c>
      <c r="B55" s="63"/>
      <c r="C55" s="63"/>
      <c r="D55" s="63"/>
      <c r="E55" s="63"/>
      <c r="F55" s="63"/>
      <c r="G55" s="63"/>
      <c r="H55" s="63"/>
      <c r="I55" s="63"/>
      <c r="J55" s="63"/>
      <c r="K55" s="63"/>
      <c r="L55" s="63"/>
      <c r="M55" s="63"/>
      <c r="N55" s="63"/>
      <c r="O55" s="63"/>
      <c r="P55" s="63"/>
      <c r="Q55" s="63"/>
      <c r="R55" s="63"/>
      <c r="S55" s="63"/>
      <c r="T55" s="63"/>
      <c r="U55" s="63"/>
      <c r="V55" s="63"/>
      <c r="W55" s="63"/>
      <c r="X55" s="63"/>
      <c r="Y55" s="63"/>
    </row>
    <row r="56" spans="1:25" hidden="1">
      <c r="A56" s="65">
        <v>3</v>
      </c>
      <c r="B56" s="63"/>
      <c r="C56" s="63"/>
      <c r="D56" s="63"/>
      <c r="E56" s="63"/>
      <c r="F56" s="63"/>
      <c r="G56" s="63"/>
      <c r="H56" s="63"/>
      <c r="I56" s="63"/>
      <c r="J56" s="63"/>
      <c r="K56" s="63"/>
      <c r="L56" s="63"/>
      <c r="M56" s="63"/>
      <c r="N56" s="63"/>
      <c r="O56" s="63"/>
      <c r="P56" s="63"/>
      <c r="Q56" s="63"/>
      <c r="R56" s="63"/>
      <c r="S56" s="63"/>
      <c r="T56" s="63"/>
      <c r="U56" s="63"/>
      <c r="V56" s="63"/>
      <c r="W56" s="63"/>
      <c r="X56" s="63"/>
      <c r="Y56" s="63"/>
    </row>
    <row r="57" spans="1:25" hidden="1">
      <c r="A57" s="65">
        <v>4</v>
      </c>
      <c r="B57" s="63"/>
      <c r="C57" s="63"/>
      <c r="D57" s="63"/>
      <c r="E57" s="63"/>
      <c r="F57" s="63"/>
      <c r="G57" s="63"/>
      <c r="H57" s="63"/>
      <c r="I57" s="63"/>
      <c r="J57" s="63"/>
      <c r="K57" s="63"/>
      <c r="L57" s="63"/>
      <c r="M57" s="63"/>
      <c r="N57" s="63"/>
      <c r="O57" s="63"/>
      <c r="P57" s="63"/>
      <c r="Q57" s="63"/>
      <c r="R57" s="63"/>
      <c r="S57" s="63"/>
      <c r="T57" s="63"/>
      <c r="U57" s="63"/>
      <c r="V57" s="63"/>
      <c r="W57" s="63"/>
      <c r="X57" s="63"/>
      <c r="Y57" s="63"/>
    </row>
    <row r="58" spans="1:25" hidden="1">
      <c r="A58" s="65">
        <v>5</v>
      </c>
      <c r="B58" s="63"/>
      <c r="C58" s="63"/>
      <c r="D58" s="63"/>
      <c r="E58" s="63"/>
      <c r="F58" s="63"/>
      <c r="G58" s="63"/>
      <c r="H58" s="63"/>
      <c r="I58" s="63"/>
      <c r="J58" s="63"/>
      <c r="K58" s="63"/>
      <c r="L58" s="63"/>
      <c r="M58" s="63"/>
      <c r="N58" s="63"/>
      <c r="O58" s="63"/>
      <c r="P58" s="63"/>
      <c r="Q58" s="63"/>
      <c r="R58" s="63"/>
      <c r="S58" s="63"/>
      <c r="T58" s="63"/>
      <c r="U58" s="63"/>
      <c r="V58" s="63"/>
      <c r="W58" s="63"/>
      <c r="X58" s="63"/>
      <c r="Y58" s="63"/>
    </row>
    <row r="59" spans="1:25" hidden="1">
      <c r="A59" s="65">
        <v>6</v>
      </c>
      <c r="B59" s="63"/>
      <c r="C59" s="63"/>
      <c r="D59" s="63"/>
      <c r="E59" s="63"/>
      <c r="F59" s="63"/>
      <c r="G59" s="63"/>
      <c r="H59" s="63"/>
      <c r="I59" s="63"/>
      <c r="J59" s="63"/>
      <c r="K59" s="63"/>
      <c r="L59" s="63"/>
      <c r="M59" s="63"/>
      <c r="N59" s="63"/>
      <c r="O59" s="63"/>
      <c r="P59" s="63"/>
      <c r="Q59" s="63"/>
      <c r="R59" s="63"/>
      <c r="S59" s="63"/>
      <c r="T59" s="63"/>
      <c r="U59" s="63"/>
      <c r="V59" s="63"/>
      <c r="W59" s="63"/>
      <c r="X59" s="63"/>
      <c r="Y59" s="63"/>
    </row>
    <row r="60" spans="1:25" hidden="1">
      <c r="A60" s="65">
        <v>7</v>
      </c>
      <c r="B60" s="63"/>
      <c r="C60" s="63"/>
      <c r="D60" s="63"/>
      <c r="E60" s="63"/>
      <c r="F60" s="63"/>
      <c r="G60" s="63"/>
      <c r="H60" s="63"/>
      <c r="I60" s="63"/>
      <c r="J60" s="63"/>
      <c r="K60" s="63"/>
      <c r="L60" s="63"/>
      <c r="M60" s="63"/>
      <c r="N60" s="63"/>
      <c r="O60" s="63"/>
      <c r="P60" s="63"/>
      <c r="Q60" s="63"/>
      <c r="R60" s="63"/>
      <c r="S60" s="63"/>
      <c r="T60" s="63"/>
      <c r="U60" s="63"/>
      <c r="V60" s="63"/>
      <c r="W60" s="63"/>
      <c r="X60" s="63"/>
      <c r="Y60" s="63"/>
    </row>
    <row r="61" spans="1:25" hidden="1">
      <c r="A61" s="65">
        <v>8</v>
      </c>
      <c r="B61" s="63"/>
      <c r="C61" s="63"/>
      <c r="D61" s="63"/>
      <c r="E61" s="63"/>
      <c r="F61" s="63"/>
      <c r="G61" s="63"/>
      <c r="H61" s="63"/>
      <c r="I61" s="63"/>
      <c r="J61" s="63"/>
      <c r="K61" s="63"/>
      <c r="L61" s="63"/>
      <c r="M61" s="63"/>
      <c r="N61" s="63"/>
      <c r="O61" s="63"/>
      <c r="P61" s="63"/>
      <c r="Q61" s="63"/>
      <c r="R61" s="63"/>
      <c r="S61" s="63"/>
      <c r="T61" s="63"/>
      <c r="U61" s="63"/>
      <c r="V61" s="63"/>
      <c r="W61" s="63"/>
      <c r="X61" s="63"/>
      <c r="Y61" s="63"/>
    </row>
    <row r="62" spans="1:25" hidden="1">
      <c r="A62" s="65">
        <v>9</v>
      </c>
      <c r="B62" s="63"/>
      <c r="C62" s="63"/>
      <c r="D62" s="63"/>
      <c r="E62" s="63"/>
      <c r="F62" s="63"/>
      <c r="G62" s="63"/>
      <c r="H62" s="63"/>
      <c r="I62" s="63"/>
      <c r="J62" s="63"/>
      <c r="K62" s="63"/>
      <c r="L62" s="63"/>
      <c r="M62" s="63"/>
      <c r="N62" s="63"/>
      <c r="O62" s="63"/>
      <c r="P62" s="63"/>
      <c r="Q62" s="63"/>
      <c r="R62" s="63"/>
      <c r="S62" s="63"/>
      <c r="T62" s="63"/>
      <c r="U62" s="63"/>
      <c r="V62" s="63"/>
      <c r="W62" s="63"/>
      <c r="X62" s="63"/>
      <c r="Y62" s="63"/>
    </row>
    <row r="63" spans="1:25" hidden="1">
      <c r="A63" s="65">
        <v>10</v>
      </c>
      <c r="B63" s="63"/>
      <c r="C63" s="63"/>
      <c r="D63" s="63"/>
      <c r="E63" s="63"/>
      <c r="F63" s="63"/>
      <c r="G63" s="63"/>
      <c r="H63" s="63"/>
      <c r="I63" s="63"/>
      <c r="J63" s="63"/>
      <c r="K63" s="63"/>
      <c r="L63" s="63"/>
      <c r="M63" s="63"/>
      <c r="N63" s="63"/>
      <c r="O63" s="63"/>
      <c r="P63" s="63"/>
      <c r="Q63" s="63"/>
      <c r="R63" s="63"/>
      <c r="S63" s="63"/>
      <c r="T63" s="63"/>
      <c r="U63" s="63"/>
      <c r="V63" s="63"/>
      <c r="W63" s="63"/>
      <c r="X63" s="63"/>
      <c r="Y63" s="63"/>
    </row>
    <row r="64" spans="1:25" hidden="1">
      <c r="A64" s="65">
        <v>11</v>
      </c>
      <c r="B64" s="63"/>
      <c r="C64" s="63"/>
      <c r="D64" s="63"/>
      <c r="E64" s="63"/>
      <c r="F64" s="63"/>
      <c r="G64" s="63"/>
      <c r="H64" s="63"/>
      <c r="I64" s="63"/>
      <c r="J64" s="63"/>
      <c r="K64" s="63"/>
      <c r="L64" s="63"/>
      <c r="M64" s="63"/>
      <c r="N64" s="63"/>
      <c r="O64" s="63"/>
      <c r="P64" s="63"/>
      <c r="Q64" s="63"/>
      <c r="R64" s="63"/>
      <c r="S64" s="63"/>
      <c r="T64" s="63"/>
      <c r="U64" s="63"/>
      <c r="V64" s="63"/>
      <c r="W64" s="63"/>
      <c r="X64" s="63"/>
      <c r="Y64" s="63"/>
    </row>
    <row r="65" spans="1:25" hidden="1">
      <c r="A65" s="65">
        <v>12</v>
      </c>
      <c r="B65" s="63"/>
      <c r="C65" s="63"/>
      <c r="D65" s="63"/>
      <c r="E65" s="63"/>
      <c r="F65" s="63"/>
      <c r="G65" s="63"/>
      <c r="H65" s="63"/>
      <c r="I65" s="63"/>
      <c r="J65" s="63"/>
      <c r="K65" s="63"/>
      <c r="L65" s="63"/>
      <c r="M65" s="63"/>
      <c r="N65" s="63"/>
      <c r="O65" s="63"/>
      <c r="P65" s="63"/>
      <c r="Q65" s="63"/>
      <c r="R65" s="63"/>
      <c r="S65" s="63"/>
      <c r="T65" s="63"/>
      <c r="U65" s="63"/>
      <c r="V65" s="63"/>
      <c r="W65" s="63"/>
      <c r="X65" s="63"/>
      <c r="Y65" s="63"/>
    </row>
    <row r="66" spans="1:25" hidden="1">
      <c r="A66" s="65">
        <v>13</v>
      </c>
      <c r="B66" s="63"/>
      <c r="C66" s="63"/>
      <c r="D66" s="63"/>
      <c r="E66" s="63"/>
      <c r="F66" s="63"/>
      <c r="G66" s="63"/>
      <c r="H66" s="63"/>
      <c r="I66" s="63"/>
      <c r="J66" s="63"/>
      <c r="K66" s="63"/>
      <c r="L66" s="63"/>
      <c r="M66" s="63"/>
      <c r="N66" s="63"/>
      <c r="O66" s="63"/>
      <c r="P66" s="63"/>
      <c r="Q66" s="63"/>
      <c r="R66" s="63"/>
      <c r="S66" s="63"/>
      <c r="T66" s="63"/>
      <c r="U66" s="63"/>
      <c r="V66" s="63"/>
      <c r="W66" s="63"/>
      <c r="X66" s="63"/>
      <c r="Y66" s="63"/>
    </row>
    <row r="67" spans="1:25" hidden="1">
      <c r="A67" s="65">
        <v>14</v>
      </c>
      <c r="B67" s="63"/>
      <c r="C67" s="63"/>
      <c r="D67" s="63"/>
      <c r="E67" s="63"/>
      <c r="F67" s="63"/>
      <c r="G67" s="63"/>
      <c r="H67" s="63"/>
      <c r="I67" s="63"/>
      <c r="J67" s="63"/>
      <c r="K67" s="63"/>
      <c r="L67" s="63"/>
      <c r="M67" s="63"/>
      <c r="N67" s="63"/>
      <c r="O67" s="63"/>
      <c r="P67" s="63"/>
      <c r="Q67" s="63"/>
      <c r="R67" s="63"/>
      <c r="S67" s="63"/>
      <c r="T67" s="63"/>
      <c r="U67" s="63"/>
      <c r="V67" s="63"/>
      <c r="W67" s="63"/>
      <c r="X67" s="63"/>
      <c r="Y67" s="63"/>
    </row>
    <row r="68" spans="1:25" hidden="1">
      <c r="A68" s="65">
        <v>15</v>
      </c>
      <c r="B68" s="63"/>
      <c r="C68" s="63"/>
      <c r="D68" s="63"/>
      <c r="E68" s="63"/>
      <c r="F68" s="63"/>
      <c r="G68" s="63"/>
      <c r="H68" s="63"/>
      <c r="I68" s="63"/>
      <c r="J68" s="63"/>
      <c r="K68" s="63"/>
      <c r="L68" s="63"/>
      <c r="M68" s="63"/>
      <c r="N68" s="63"/>
      <c r="O68" s="63"/>
      <c r="P68" s="63"/>
      <c r="Q68" s="63"/>
      <c r="R68" s="63"/>
      <c r="S68" s="63"/>
      <c r="T68" s="63"/>
      <c r="U68" s="63"/>
      <c r="V68" s="63"/>
      <c r="W68" s="63"/>
      <c r="X68" s="63"/>
      <c r="Y68" s="63"/>
    </row>
    <row r="69" spans="1:25" hidden="1">
      <c r="A69" s="65">
        <v>16</v>
      </c>
      <c r="B69" s="63"/>
      <c r="C69" s="63"/>
      <c r="D69" s="63"/>
      <c r="E69" s="63"/>
      <c r="F69" s="63"/>
      <c r="G69" s="63"/>
      <c r="H69" s="63"/>
      <c r="I69" s="63"/>
      <c r="J69" s="63"/>
      <c r="K69" s="63"/>
      <c r="L69" s="63"/>
      <c r="M69" s="63"/>
      <c r="N69" s="63"/>
      <c r="O69" s="63"/>
      <c r="P69" s="63"/>
      <c r="Q69" s="63"/>
      <c r="R69" s="63"/>
      <c r="S69" s="63"/>
      <c r="T69" s="63"/>
      <c r="U69" s="63"/>
      <c r="V69" s="63"/>
      <c r="W69" s="63"/>
      <c r="X69" s="63"/>
      <c r="Y69" s="63"/>
    </row>
    <row r="70" spans="1:25" hidden="1">
      <c r="A70" s="65">
        <v>17</v>
      </c>
      <c r="B70" s="63"/>
      <c r="C70" s="63"/>
      <c r="D70" s="63"/>
      <c r="E70" s="63"/>
      <c r="F70" s="63"/>
      <c r="G70" s="63"/>
      <c r="H70" s="63"/>
      <c r="I70" s="63"/>
      <c r="J70" s="63"/>
      <c r="K70" s="63"/>
      <c r="L70" s="63"/>
      <c r="M70" s="63"/>
      <c r="N70" s="63"/>
      <c r="O70" s="63"/>
      <c r="P70" s="63"/>
      <c r="Q70" s="63"/>
      <c r="R70" s="63"/>
      <c r="S70" s="63"/>
      <c r="T70" s="63"/>
      <c r="U70" s="63"/>
      <c r="V70" s="63"/>
      <c r="W70" s="63"/>
      <c r="X70" s="63"/>
      <c r="Y70" s="63"/>
    </row>
    <row r="71" spans="1:25" hidden="1">
      <c r="A71" s="65">
        <v>18</v>
      </c>
      <c r="B71" s="63"/>
      <c r="C71" s="63"/>
      <c r="D71" s="63"/>
      <c r="E71" s="63"/>
      <c r="F71" s="63"/>
      <c r="G71" s="63"/>
      <c r="H71" s="63"/>
      <c r="I71" s="63"/>
      <c r="J71" s="63"/>
      <c r="K71" s="63"/>
      <c r="L71" s="63"/>
      <c r="M71" s="63"/>
      <c r="N71" s="63"/>
      <c r="O71" s="63"/>
      <c r="P71" s="63"/>
      <c r="Q71" s="63"/>
      <c r="R71" s="63"/>
      <c r="S71" s="63"/>
      <c r="T71" s="63"/>
      <c r="U71" s="63"/>
      <c r="V71" s="63"/>
      <c r="W71" s="63"/>
      <c r="X71" s="63"/>
      <c r="Y71" s="63"/>
    </row>
    <row r="72" spans="1:25" hidden="1">
      <c r="A72" s="65">
        <v>19</v>
      </c>
      <c r="B72" s="63"/>
      <c r="C72" s="63"/>
      <c r="D72" s="63"/>
      <c r="E72" s="63"/>
      <c r="F72" s="63"/>
      <c r="G72" s="63"/>
      <c r="H72" s="63"/>
      <c r="I72" s="63"/>
      <c r="J72" s="63"/>
      <c r="K72" s="63"/>
      <c r="L72" s="63"/>
      <c r="M72" s="63"/>
      <c r="N72" s="63"/>
      <c r="O72" s="63"/>
      <c r="P72" s="63"/>
      <c r="Q72" s="63"/>
      <c r="R72" s="63"/>
      <c r="S72" s="63"/>
      <c r="T72" s="63"/>
      <c r="U72" s="63"/>
      <c r="V72" s="63"/>
      <c r="W72" s="63"/>
      <c r="X72" s="63"/>
      <c r="Y72" s="63"/>
    </row>
    <row r="73" spans="1:25" hidden="1">
      <c r="A73" s="65">
        <v>20</v>
      </c>
      <c r="B73" s="63"/>
      <c r="C73" s="63"/>
      <c r="D73" s="63"/>
      <c r="E73" s="63"/>
      <c r="F73" s="63"/>
      <c r="G73" s="63"/>
      <c r="H73" s="63"/>
      <c r="I73" s="63"/>
      <c r="J73" s="63"/>
      <c r="K73" s="63"/>
      <c r="L73" s="63"/>
      <c r="M73" s="63"/>
      <c r="N73" s="63"/>
      <c r="O73" s="63"/>
      <c r="P73" s="63"/>
      <c r="Q73" s="63"/>
      <c r="R73" s="63"/>
      <c r="S73" s="63"/>
      <c r="T73" s="63"/>
      <c r="U73" s="63"/>
      <c r="V73" s="63"/>
      <c r="W73" s="63"/>
      <c r="X73" s="63"/>
      <c r="Y73" s="63"/>
    </row>
    <row r="74" spans="1:25" hidden="1">
      <c r="A74" s="65">
        <v>21</v>
      </c>
      <c r="B74" s="63"/>
      <c r="C74" s="63"/>
      <c r="D74" s="63"/>
      <c r="E74" s="63"/>
      <c r="F74" s="63"/>
      <c r="G74" s="63"/>
      <c r="H74" s="63"/>
      <c r="I74" s="63"/>
      <c r="J74" s="63"/>
      <c r="K74" s="63"/>
      <c r="L74" s="63"/>
      <c r="M74" s="63"/>
      <c r="N74" s="63"/>
      <c r="O74" s="63"/>
      <c r="P74" s="63"/>
      <c r="Q74" s="63"/>
      <c r="R74" s="63"/>
      <c r="S74" s="63"/>
      <c r="T74" s="63"/>
      <c r="U74" s="63"/>
      <c r="V74" s="63"/>
      <c r="W74" s="63"/>
      <c r="X74" s="63"/>
      <c r="Y74" s="63"/>
    </row>
    <row r="75" spans="1:25" hidden="1">
      <c r="A75" s="65">
        <v>22</v>
      </c>
      <c r="B75" s="63"/>
      <c r="C75" s="63"/>
      <c r="D75" s="63"/>
      <c r="E75" s="63"/>
      <c r="F75" s="63"/>
      <c r="G75" s="63"/>
      <c r="H75" s="63"/>
      <c r="I75" s="63"/>
      <c r="J75" s="63"/>
      <c r="K75" s="63"/>
      <c r="L75" s="63"/>
      <c r="M75" s="63"/>
      <c r="N75" s="63"/>
      <c r="O75" s="63"/>
      <c r="P75" s="63"/>
      <c r="Q75" s="63"/>
      <c r="R75" s="63"/>
      <c r="S75" s="63"/>
      <c r="T75" s="63"/>
      <c r="U75" s="63"/>
      <c r="V75" s="63"/>
      <c r="W75" s="63"/>
      <c r="X75" s="63"/>
      <c r="Y75" s="63"/>
    </row>
    <row r="76" spans="1:25" hidden="1">
      <c r="A76" s="65">
        <v>23</v>
      </c>
      <c r="B76" s="63"/>
      <c r="C76" s="63"/>
      <c r="D76" s="63"/>
      <c r="E76" s="63"/>
      <c r="F76" s="63"/>
      <c r="G76" s="63"/>
      <c r="H76" s="63"/>
      <c r="I76" s="63"/>
      <c r="J76" s="63"/>
      <c r="K76" s="63"/>
      <c r="L76" s="63"/>
      <c r="M76" s="63"/>
      <c r="N76" s="63"/>
      <c r="O76" s="63"/>
      <c r="P76" s="63"/>
      <c r="Q76" s="63"/>
      <c r="R76" s="63"/>
      <c r="S76" s="63"/>
      <c r="T76" s="63"/>
      <c r="U76" s="63"/>
      <c r="V76" s="63"/>
      <c r="W76" s="63"/>
      <c r="X76" s="63"/>
      <c r="Y76" s="63"/>
    </row>
    <row r="77" spans="1:25" hidden="1">
      <c r="A77" s="65">
        <v>24</v>
      </c>
      <c r="B77" s="63"/>
      <c r="C77" s="63"/>
      <c r="D77" s="63"/>
      <c r="E77" s="63"/>
      <c r="F77" s="63"/>
      <c r="G77" s="63"/>
      <c r="H77" s="63"/>
      <c r="I77" s="63"/>
      <c r="J77" s="63"/>
      <c r="K77" s="63"/>
      <c r="L77" s="63"/>
      <c r="M77" s="63"/>
      <c r="N77" s="63"/>
      <c r="O77" s="63"/>
      <c r="P77" s="63"/>
      <c r="Q77" s="63"/>
      <c r="R77" s="63"/>
      <c r="S77" s="63"/>
      <c r="T77" s="63"/>
      <c r="U77" s="63"/>
      <c r="V77" s="63"/>
      <c r="W77" s="63"/>
      <c r="X77" s="63"/>
      <c r="Y77" s="63"/>
    </row>
    <row r="78" spans="1:25" hidden="1">
      <c r="A78" s="65">
        <v>25</v>
      </c>
      <c r="B78" s="63"/>
      <c r="C78" s="63"/>
      <c r="D78" s="63"/>
      <c r="E78" s="63"/>
      <c r="F78" s="63"/>
      <c r="G78" s="63"/>
      <c r="H78" s="63"/>
      <c r="I78" s="63"/>
      <c r="J78" s="63"/>
      <c r="K78" s="63"/>
      <c r="L78" s="63"/>
      <c r="M78" s="63"/>
      <c r="N78" s="63"/>
      <c r="O78" s="63"/>
      <c r="P78" s="63"/>
      <c r="Q78" s="63"/>
      <c r="R78" s="63"/>
      <c r="S78" s="63"/>
      <c r="T78" s="63"/>
      <c r="U78" s="63"/>
      <c r="V78" s="63"/>
      <c r="W78" s="63"/>
      <c r="X78" s="63"/>
      <c r="Y78" s="63"/>
    </row>
    <row r="79" spans="1:25" hidden="1">
      <c r="A79" s="65">
        <v>26</v>
      </c>
      <c r="B79" s="63"/>
      <c r="C79" s="63"/>
      <c r="D79" s="63"/>
      <c r="E79" s="63"/>
      <c r="F79" s="63"/>
      <c r="G79" s="63"/>
      <c r="H79" s="63"/>
      <c r="I79" s="63"/>
      <c r="J79" s="63"/>
      <c r="K79" s="63"/>
      <c r="L79" s="63"/>
      <c r="M79" s="63"/>
      <c r="N79" s="63"/>
      <c r="O79" s="63"/>
      <c r="P79" s="63"/>
      <c r="Q79" s="63"/>
      <c r="R79" s="63"/>
      <c r="S79" s="63"/>
      <c r="T79" s="63"/>
      <c r="U79" s="63"/>
      <c r="V79" s="63"/>
      <c r="W79" s="63"/>
      <c r="X79" s="63"/>
      <c r="Y79" s="63"/>
    </row>
    <row r="80" spans="1:25" hidden="1">
      <c r="A80" s="65">
        <v>27</v>
      </c>
      <c r="B80" s="63"/>
      <c r="C80" s="63"/>
      <c r="D80" s="63"/>
      <c r="E80" s="63"/>
      <c r="F80" s="63"/>
      <c r="G80" s="63"/>
      <c r="H80" s="63"/>
      <c r="I80" s="63"/>
      <c r="J80" s="63"/>
      <c r="K80" s="63"/>
      <c r="L80" s="63"/>
      <c r="M80" s="63"/>
      <c r="N80" s="63"/>
      <c r="O80" s="63"/>
      <c r="P80" s="63"/>
      <c r="Q80" s="63"/>
      <c r="R80" s="63"/>
      <c r="S80" s="63"/>
      <c r="T80" s="63"/>
      <c r="U80" s="63"/>
      <c r="V80" s="63"/>
      <c r="W80" s="63"/>
      <c r="X80" s="63"/>
      <c r="Y80" s="63"/>
    </row>
    <row r="81" spans="1:25" hidden="1">
      <c r="A81" s="65">
        <v>28</v>
      </c>
      <c r="B81" s="63"/>
      <c r="C81" s="63"/>
      <c r="D81" s="63"/>
      <c r="E81" s="63"/>
      <c r="F81" s="63"/>
      <c r="G81" s="63"/>
      <c r="H81" s="63"/>
      <c r="I81" s="63"/>
      <c r="J81" s="63"/>
      <c r="K81" s="63"/>
      <c r="L81" s="63"/>
      <c r="M81" s="63"/>
      <c r="N81" s="63"/>
      <c r="O81" s="63"/>
      <c r="P81" s="63"/>
      <c r="Q81" s="63"/>
      <c r="R81" s="63"/>
      <c r="S81" s="63"/>
      <c r="T81" s="63"/>
      <c r="U81" s="63"/>
      <c r="V81" s="63"/>
      <c r="W81" s="63"/>
      <c r="X81" s="63"/>
      <c r="Y81" s="63"/>
    </row>
    <row r="82" spans="1:25" hidden="1">
      <c r="A82" s="65">
        <v>29</v>
      </c>
      <c r="B82" s="63"/>
      <c r="C82" s="63"/>
      <c r="D82" s="63"/>
      <c r="E82" s="63"/>
      <c r="F82" s="63"/>
      <c r="G82" s="63"/>
      <c r="H82" s="63"/>
      <c r="I82" s="63"/>
      <c r="J82" s="63"/>
      <c r="K82" s="63"/>
      <c r="L82" s="63"/>
      <c r="M82" s="63"/>
      <c r="N82" s="63"/>
      <c r="O82" s="63"/>
      <c r="P82" s="63"/>
      <c r="Q82" s="63"/>
      <c r="R82" s="63"/>
      <c r="S82" s="63"/>
      <c r="T82" s="63"/>
      <c r="U82" s="63"/>
      <c r="V82" s="63"/>
      <c r="W82" s="63"/>
      <c r="X82" s="63"/>
      <c r="Y82" s="63"/>
    </row>
    <row r="83" spans="1:25" hidden="1">
      <c r="A83" s="65">
        <v>30</v>
      </c>
      <c r="B83" s="63"/>
      <c r="C83" s="63"/>
      <c r="D83" s="63"/>
      <c r="E83" s="63"/>
      <c r="F83" s="63"/>
      <c r="G83" s="63"/>
      <c r="H83" s="63"/>
      <c r="I83" s="63"/>
      <c r="J83" s="63"/>
      <c r="K83" s="63"/>
      <c r="L83" s="63"/>
      <c r="M83" s="63"/>
      <c r="N83" s="63"/>
      <c r="O83" s="63"/>
      <c r="P83" s="63"/>
      <c r="Q83" s="63"/>
      <c r="R83" s="63"/>
      <c r="S83" s="63"/>
      <c r="T83" s="63"/>
      <c r="U83" s="63"/>
      <c r="V83" s="63"/>
      <c r="W83" s="63"/>
      <c r="X83" s="63"/>
      <c r="Y83" s="63"/>
    </row>
    <row r="84" spans="1:25" hidden="1">
      <c r="A84" s="65">
        <v>31</v>
      </c>
      <c r="B84" s="63"/>
      <c r="C84" s="63"/>
      <c r="D84" s="63"/>
      <c r="E84" s="63"/>
      <c r="F84" s="63"/>
      <c r="G84" s="63"/>
      <c r="H84" s="63"/>
      <c r="I84" s="63"/>
      <c r="J84" s="63"/>
      <c r="K84" s="63"/>
      <c r="L84" s="63"/>
      <c r="M84" s="63"/>
      <c r="N84" s="63"/>
      <c r="O84" s="63"/>
      <c r="P84" s="63"/>
      <c r="Q84" s="63"/>
      <c r="R84" s="63"/>
      <c r="S84" s="63"/>
      <c r="T84" s="63"/>
      <c r="U84" s="63"/>
      <c r="V84" s="63"/>
      <c r="W84" s="63"/>
      <c r="X84" s="63"/>
      <c r="Y84" s="63"/>
    </row>
    <row r="85" spans="1:25" hidden="1">
      <c r="A85" s="65">
        <v>32</v>
      </c>
      <c r="B85" s="63"/>
      <c r="C85" s="63"/>
      <c r="D85" s="63"/>
      <c r="E85" s="63"/>
      <c r="F85" s="63"/>
      <c r="G85" s="63"/>
      <c r="H85" s="63"/>
      <c r="I85" s="63"/>
      <c r="J85" s="63"/>
      <c r="K85" s="63"/>
      <c r="L85" s="63"/>
      <c r="M85" s="63"/>
      <c r="N85" s="63"/>
      <c r="O85" s="63"/>
      <c r="P85" s="63"/>
      <c r="Q85" s="63"/>
      <c r="R85" s="63"/>
      <c r="S85" s="63"/>
      <c r="T85" s="63"/>
      <c r="U85" s="63"/>
      <c r="V85" s="63"/>
      <c r="W85" s="63"/>
      <c r="X85" s="63"/>
      <c r="Y85" s="63"/>
    </row>
    <row r="86" spans="1:25" hidden="1">
      <c r="A86" s="65">
        <v>33</v>
      </c>
      <c r="B86" s="63"/>
      <c r="C86" s="63"/>
      <c r="D86" s="63"/>
      <c r="E86" s="63"/>
      <c r="F86" s="63"/>
      <c r="G86" s="63"/>
      <c r="H86" s="63"/>
      <c r="I86" s="63"/>
      <c r="J86" s="63"/>
      <c r="K86" s="63"/>
      <c r="L86" s="63"/>
      <c r="M86" s="63"/>
      <c r="N86" s="63"/>
      <c r="O86" s="63"/>
      <c r="P86" s="63"/>
      <c r="Q86" s="63"/>
      <c r="R86" s="63"/>
      <c r="S86" s="63"/>
      <c r="T86" s="63"/>
      <c r="U86" s="63"/>
      <c r="V86" s="63"/>
      <c r="W86" s="63"/>
      <c r="X86" s="63"/>
      <c r="Y86" s="63"/>
    </row>
    <row r="87" spans="1:25" hidden="1">
      <c r="A87" s="65">
        <v>34</v>
      </c>
      <c r="B87" s="63"/>
      <c r="C87" s="63"/>
      <c r="D87" s="63"/>
      <c r="E87" s="63"/>
      <c r="F87" s="63"/>
      <c r="G87" s="63"/>
      <c r="H87" s="63"/>
      <c r="I87" s="63"/>
      <c r="J87" s="63"/>
      <c r="K87" s="63"/>
      <c r="L87" s="63"/>
      <c r="M87" s="63"/>
      <c r="N87" s="63"/>
      <c r="O87" s="63"/>
      <c r="P87" s="63"/>
      <c r="Q87" s="63"/>
      <c r="R87" s="63"/>
      <c r="S87" s="63"/>
      <c r="T87" s="63"/>
      <c r="U87" s="63"/>
      <c r="V87" s="63"/>
      <c r="W87" s="63"/>
      <c r="X87" s="63"/>
      <c r="Y87" s="63"/>
    </row>
    <row r="88" spans="1:25" hidden="1">
      <c r="A88" s="65">
        <v>35</v>
      </c>
    </row>
    <row r="89" spans="1:25" hidden="1">
      <c r="A89" s="65">
        <v>36</v>
      </c>
    </row>
    <row r="90" spans="1:25" hidden="1">
      <c r="A90" s="65">
        <v>37</v>
      </c>
    </row>
    <row r="91" spans="1:25" hidden="1">
      <c r="A91" s="65">
        <v>38</v>
      </c>
    </row>
    <row r="92" spans="1:25" hidden="1">
      <c r="A92" s="65">
        <v>39</v>
      </c>
    </row>
    <row r="93" spans="1:25" hidden="1">
      <c r="A93" s="65">
        <v>40</v>
      </c>
    </row>
  </sheetData>
  <sheetProtection algorithmName="SHA-512" hashValue="q6w9KddzDr8p/snVKCxQLtRq9TgdIkaWOUWuyfGx2k8SGQuVtzdj2QSmRybF5Of9QSp9j07od1qTy0niJaM0JQ==" saltValue="/v3cPhArHP7ctyPzF2TBlg==" spinCount="100000" sheet="1" selectLockedCells="1"/>
  <protectedRanges>
    <protectedRange sqref="Q42:S43" name="Range13"/>
    <protectedRange sqref="F20:O20 C8:T8 F9:O9 Q20:S20 T9" name="Range1_1"/>
    <protectedRange sqref="H15:N16 P13:P15 T17 T11:T13 O16:T16 Q15:S15 H35:J36 N35:N36 K35:M35 H11:L14" name="Range2"/>
    <protectedRange sqref="T18:T20 H18:S19" name="Range3_1"/>
    <protectedRange sqref="T22:T24 H22:S31 P32:S32 AF23:AI32" name="Range5_1"/>
    <protectedRange sqref="K32" name="Range9_1"/>
    <protectedRange sqref="G38:I41" name="Range10_1"/>
    <protectedRange sqref="R38:S39 AH39 AB39:AC39" name="Range11_1"/>
    <protectedRange sqref="Q42:S43" name="Range12"/>
  </protectedRanges>
  <mergeCells count="71">
    <mergeCell ref="V10:Z12"/>
    <mergeCell ref="E11:F11"/>
    <mergeCell ref="M11:O11"/>
    <mergeCell ref="Q11:S11"/>
    <mergeCell ref="E12:F12"/>
    <mergeCell ref="B16:N16"/>
    <mergeCell ref="K17:M17"/>
    <mergeCell ref="Q17:S17"/>
    <mergeCell ref="B4:T5"/>
    <mergeCell ref="B8:N8"/>
    <mergeCell ref="E10:F10"/>
    <mergeCell ref="M10:O10"/>
    <mergeCell ref="Q10:S10"/>
    <mergeCell ref="M12:O12"/>
    <mergeCell ref="Q12:S12"/>
    <mergeCell ref="M13:O13"/>
    <mergeCell ref="Q13:S13"/>
    <mergeCell ref="M14:O14"/>
    <mergeCell ref="Q14:S14"/>
    <mergeCell ref="V17:Z17"/>
    <mergeCell ref="B19:M19"/>
    <mergeCell ref="C22:J22"/>
    <mergeCell ref="K22:M22"/>
    <mergeCell ref="N22:P22"/>
    <mergeCell ref="Q22:S22"/>
    <mergeCell ref="Q20:S20"/>
    <mergeCell ref="C23:J23"/>
    <mergeCell ref="K23:M23"/>
    <mergeCell ref="N23:P23"/>
    <mergeCell ref="Q23:S23"/>
    <mergeCell ref="V23:Z31"/>
    <mergeCell ref="C24:J24"/>
    <mergeCell ref="K24:M24"/>
    <mergeCell ref="N24:P24"/>
    <mergeCell ref="Q24:S24"/>
    <mergeCell ref="C25:J25"/>
    <mergeCell ref="K25:M25"/>
    <mergeCell ref="N25:P25"/>
    <mergeCell ref="Q25:S25"/>
    <mergeCell ref="C26:J26"/>
    <mergeCell ref="K26:M26"/>
    <mergeCell ref="N26:P26"/>
    <mergeCell ref="Q26:S26"/>
    <mergeCell ref="C27:J27"/>
    <mergeCell ref="K27:M27"/>
    <mergeCell ref="N27:P27"/>
    <mergeCell ref="Q27:S27"/>
    <mergeCell ref="C28:J28"/>
    <mergeCell ref="K28:M28"/>
    <mergeCell ref="N28:P28"/>
    <mergeCell ref="Q28:S28"/>
    <mergeCell ref="C29:J29"/>
    <mergeCell ref="K29:M29"/>
    <mergeCell ref="N29:P29"/>
    <mergeCell ref="Q29:S29"/>
    <mergeCell ref="C30:J30"/>
    <mergeCell ref="K30:M30"/>
    <mergeCell ref="N30:P30"/>
    <mergeCell ref="Q30:S30"/>
    <mergeCell ref="C31:J31"/>
    <mergeCell ref="K31:M31"/>
    <mergeCell ref="N31:P31"/>
    <mergeCell ref="Q31:S31"/>
    <mergeCell ref="Q39:S39"/>
    <mergeCell ref="V39:Z39"/>
    <mergeCell ref="Q32:S32"/>
    <mergeCell ref="B35:G35"/>
    <mergeCell ref="K36:M36"/>
    <mergeCell ref="Q36:S36"/>
    <mergeCell ref="V36:Z36"/>
    <mergeCell ref="B38:G38"/>
  </mergeCells>
  <dataValidations count="2">
    <dataValidation type="list" allowBlank="1" showInputMessage="1" showErrorMessage="1" sqref="M10:O14 JI10:JK14 TE10:TG14 ADA10:ADC14 AMW10:AMY14 AWS10:AWU14 BGO10:BGQ14 BQK10:BQM14 CAG10:CAI14 CKC10:CKE14 CTY10:CUA14 DDU10:DDW14 DNQ10:DNS14 DXM10:DXO14 EHI10:EHK14 ERE10:ERG14 FBA10:FBC14 FKW10:FKY14 FUS10:FUU14 GEO10:GEQ14 GOK10:GOM14 GYG10:GYI14 HIC10:HIE14 HRY10:HSA14 IBU10:IBW14 ILQ10:ILS14 IVM10:IVO14 JFI10:JFK14 JPE10:JPG14 JZA10:JZC14 KIW10:KIY14 KSS10:KSU14 LCO10:LCQ14 LMK10:LMM14 LWG10:LWI14 MGC10:MGE14 MPY10:MQA14 MZU10:MZW14 NJQ10:NJS14 NTM10:NTO14 ODI10:ODK14 ONE10:ONG14 OXA10:OXC14 PGW10:PGY14 PQS10:PQU14 QAO10:QAQ14 QKK10:QKM14 QUG10:QUI14 REC10:REE14 RNY10:ROA14 RXU10:RXW14 SHQ10:SHS14 SRM10:SRO14 TBI10:TBK14 TLE10:TLG14 TVA10:TVC14 UEW10:UEY14 UOS10:UOU14 UYO10:UYQ14 VIK10:VIM14 VSG10:VSI14 WCC10:WCE14 WLY10:WMA14 WVU10:WVW14 M65546:O65550 JI65546:JK65550 TE65546:TG65550 ADA65546:ADC65550 AMW65546:AMY65550 AWS65546:AWU65550 BGO65546:BGQ65550 BQK65546:BQM65550 CAG65546:CAI65550 CKC65546:CKE65550 CTY65546:CUA65550 DDU65546:DDW65550 DNQ65546:DNS65550 DXM65546:DXO65550 EHI65546:EHK65550 ERE65546:ERG65550 FBA65546:FBC65550 FKW65546:FKY65550 FUS65546:FUU65550 GEO65546:GEQ65550 GOK65546:GOM65550 GYG65546:GYI65550 HIC65546:HIE65550 HRY65546:HSA65550 IBU65546:IBW65550 ILQ65546:ILS65550 IVM65546:IVO65550 JFI65546:JFK65550 JPE65546:JPG65550 JZA65546:JZC65550 KIW65546:KIY65550 KSS65546:KSU65550 LCO65546:LCQ65550 LMK65546:LMM65550 LWG65546:LWI65550 MGC65546:MGE65550 MPY65546:MQA65550 MZU65546:MZW65550 NJQ65546:NJS65550 NTM65546:NTO65550 ODI65546:ODK65550 ONE65546:ONG65550 OXA65546:OXC65550 PGW65546:PGY65550 PQS65546:PQU65550 QAO65546:QAQ65550 QKK65546:QKM65550 QUG65546:QUI65550 REC65546:REE65550 RNY65546:ROA65550 RXU65546:RXW65550 SHQ65546:SHS65550 SRM65546:SRO65550 TBI65546:TBK65550 TLE65546:TLG65550 TVA65546:TVC65550 UEW65546:UEY65550 UOS65546:UOU65550 UYO65546:UYQ65550 VIK65546:VIM65550 VSG65546:VSI65550 WCC65546:WCE65550 WLY65546:WMA65550 WVU65546:WVW65550 M131082:O131086 JI131082:JK131086 TE131082:TG131086 ADA131082:ADC131086 AMW131082:AMY131086 AWS131082:AWU131086 BGO131082:BGQ131086 BQK131082:BQM131086 CAG131082:CAI131086 CKC131082:CKE131086 CTY131082:CUA131086 DDU131082:DDW131086 DNQ131082:DNS131086 DXM131082:DXO131086 EHI131082:EHK131086 ERE131082:ERG131086 FBA131082:FBC131086 FKW131082:FKY131086 FUS131082:FUU131086 GEO131082:GEQ131086 GOK131082:GOM131086 GYG131082:GYI131086 HIC131082:HIE131086 HRY131082:HSA131086 IBU131082:IBW131086 ILQ131082:ILS131086 IVM131082:IVO131086 JFI131082:JFK131086 JPE131082:JPG131086 JZA131082:JZC131086 KIW131082:KIY131086 KSS131082:KSU131086 LCO131082:LCQ131086 LMK131082:LMM131086 LWG131082:LWI131086 MGC131082:MGE131086 MPY131082:MQA131086 MZU131082:MZW131086 NJQ131082:NJS131086 NTM131082:NTO131086 ODI131082:ODK131086 ONE131082:ONG131086 OXA131082:OXC131086 PGW131082:PGY131086 PQS131082:PQU131086 QAO131082:QAQ131086 QKK131082:QKM131086 QUG131082:QUI131086 REC131082:REE131086 RNY131082:ROA131086 RXU131082:RXW131086 SHQ131082:SHS131086 SRM131082:SRO131086 TBI131082:TBK131086 TLE131082:TLG131086 TVA131082:TVC131086 UEW131082:UEY131086 UOS131082:UOU131086 UYO131082:UYQ131086 VIK131082:VIM131086 VSG131082:VSI131086 WCC131082:WCE131086 WLY131082:WMA131086 WVU131082:WVW131086 M196618:O196622 JI196618:JK196622 TE196618:TG196622 ADA196618:ADC196622 AMW196618:AMY196622 AWS196618:AWU196622 BGO196618:BGQ196622 BQK196618:BQM196622 CAG196618:CAI196622 CKC196618:CKE196622 CTY196618:CUA196622 DDU196618:DDW196622 DNQ196618:DNS196622 DXM196618:DXO196622 EHI196618:EHK196622 ERE196618:ERG196622 FBA196618:FBC196622 FKW196618:FKY196622 FUS196618:FUU196622 GEO196618:GEQ196622 GOK196618:GOM196622 GYG196618:GYI196622 HIC196618:HIE196622 HRY196618:HSA196622 IBU196618:IBW196622 ILQ196618:ILS196622 IVM196618:IVO196622 JFI196618:JFK196622 JPE196618:JPG196622 JZA196618:JZC196622 KIW196618:KIY196622 KSS196618:KSU196622 LCO196618:LCQ196622 LMK196618:LMM196622 LWG196618:LWI196622 MGC196618:MGE196622 MPY196618:MQA196622 MZU196618:MZW196622 NJQ196618:NJS196622 NTM196618:NTO196622 ODI196618:ODK196622 ONE196618:ONG196622 OXA196618:OXC196622 PGW196618:PGY196622 PQS196618:PQU196622 QAO196618:QAQ196622 QKK196618:QKM196622 QUG196618:QUI196622 REC196618:REE196622 RNY196618:ROA196622 RXU196618:RXW196622 SHQ196618:SHS196622 SRM196618:SRO196622 TBI196618:TBK196622 TLE196618:TLG196622 TVA196618:TVC196622 UEW196618:UEY196622 UOS196618:UOU196622 UYO196618:UYQ196622 VIK196618:VIM196622 VSG196618:VSI196622 WCC196618:WCE196622 WLY196618:WMA196622 WVU196618:WVW196622 M262154:O262158 JI262154:JK262158 TE262154:TG262158 ADA262154:ADC262158 AMW262154:AMY262158 AWS262154:AWU262158 BGO262154:BGQ262158 BQK262154:BQM262158 CAG262154:CAI262158 CKC262154:CKE262158 CTY262154:CUA262158 DDU262154:DDW262158 DNQ262154:DNS262158 DXM262154:DXO262158 EHI262154:EHK262158 ERE262154:ERG262158 FBA262154:FBC262158 FKW262154:FKY262158 FUS262154:FUU262158 GEO262154:GEQ262158 GOK262154:GOM262158 GYG262154:GYI262158 HIC262154:HIE262158 HRY262154:HSA262158 IBU262154:IBW262158 ILQ262154:ILS262158 IVM262154:IVO262158 JFI262154:JFK262158 JPE262154:JPG262158 JZA262154:JZC262158 KIW262154:KIY262158 KSS262154:KSU262158 LCO262154:LCQ262158 LMK262154:LMM262158 LWG262154:LWI262158 MGC262154:MGE262158 MPY262154:MQA262158 MZU262154:MZW262158 NJQ262154:NJS262158 NTM262154:NTO262158 ODI262154:ODK262158 ONE262154:ONG262158 OXA262154:OXC262158 PGW262154:PGY262158 PQS262154:PQU262158 QAO262154:QAQ262158 QKK262154:QKM262158 QUG262154:QUI262158 REC262154:REE262158 RNY262154:ROA262158 RXU262154:RXW262158 SHQ262154:SHS262158 SRM262154:SRO262158 TBI262154:TBK262158 TLE262154:TLG262158 TVA262154:TVC262158 UEW262154:UEY262158 UOS262154:UOU262158 UYO262154:UYQ262158 VIK262154:VIM262158 VSG262154:VSI262158 WCC262154:WCE262158 WLY262154:WMA262158 WVU262154:WVW262158 M327690:O327694 JI327690:JK327694 TE327690:TG327694 ADA327690:ADC327694 AMW327690:AMY327694 AWS327690:AWU327694 BGO327690:BGQ327694 BQK327690:BQM327694 CAG327690:CAI327694 CKC327690:CKE327694 CTY327690:CUA327694 DDU327690:DDW327694 DNQ327690:DNS327694 DXM327690:DXO327694 EHI327690:EHK327694 ERE327690:ERG327694 FBA327690:FBC327694 FKW327690:FKY327694 FUS327690:FUU327694 GEO327690:GEQ327694 GOK327690:GOM327694 GYG327690:GYI327694 HIC327690:HIE327694 HRY327690:HSA327694 IBU327690:IBW327694 ILQ327690:ILS327694 IVM327690:IVO327694 JFI327690:JFK327694 JPE327690:JPG327694 JZA327690:JZC327694 KIW327690:KIY327694 KSS327690:KSU327694 LCO327690:LCQ327694 LMK327690:LMM327694 LWG327690:LWI327694 MGC327690:MGE327694 MPY327690:MQA327694 MZU327690:MZW327694 NJQ327690:NJS327694 NTM327690:NTO327694 ODI327690:ODK327694 ONE327690:ONG327694 OXA327690:OXC327694 PGW327690:PGY327694 PQS327690:PQU327694 QAO327690:QAQ327694 QKK327690:QKM327694 QUG327690:QUI327694 REC327690:REE327694 RNY327690:ROA327694 RXU327690:RXW327694 SHQ327690:SHS327694 SRM327690:SRO327694 TBI327690:TBK327694 TLE327690:TLG327694 TVA327690:TVC327694 UEW327690:UEY327694 UOS327690:UOU327694 UYO327690:UYQ327694 VIK327690:VIM327694 VSG327690:VSI327694 WCC327690:WCE327694 WLY327690:WMA327694 WVU327690:WVW327694 M393226:O393230 JI393226:JK393230 TE393226:TG393230 ADA393226:ADC393230 AMW393226:AMY393230 AWS393226:AWU393230 BGO393226:BGQ393230 BQK393226:BQM393230 CAG393226:CAI393230 CKC393226:CKE393230 CTY393226:CUA393230 DDU393226:DDW393230 DNQ393226:DNS393230 DXM393226:DXO393230 EHI393226:EHK393230 ERE393226:ERG393230 FBA393226:FBC393230 FKW393226:FKY393230 FUS393226:FUU393230 GEO393226:GEQ393230 GOK393226:GOM393230 GYG393226:GYI393230 HIC393226:HIE393230 HRY393226:HSA393230 IBU393226:IBW393230 ILQ393226:ILS393230 IVM393226:IVO393230 JFI393226:JFK393230 JPE393226:JPG393230 JZA393226:JZC393230 KIW393226:KIY393230 KSS393226:KSU393230 LCO393226:LCQ393230 LMK393226:LMM393230 LWG393226:LWI393230 MGC393226:MGE393230 MPY393226:MQA393230 MZU393226:MZW393230 NJQ393226:NJS393230 NTM393226:NTO393230 ODI393226:ODK393230 ONE393226:ONG393230 OXA393226:OXC393230 PGW393226:PGY393230 PQS393226:PQU393230 QAO393226:QAQ393230 QKK393226:QKM393230 QUG393226:QUI393230 REC393226:REE393230 RNY393226:ROA393230 RXU393226:RXW393230 SHQ393226:SHS393230 SRM393226:SRO393230 TBI393226:TBK393230 TLE393226:TLG393230 TVA393226:TVC393230 UEW393226:UEY393230 UOS393226:UOU393230 UYO393226:UYQ393230 VIK393226:VIM393230 VSG393226:VSI393230 WCC393226:WCE393230 WLY393226:WMA393230 WVU393226:WVW393230 M458762:O458766 JI458762:JK458766 TE458762:TG458766 ADA458762:ADC458766 AMW458762:AMY458766 AWS458762:AWU458766 BGO458762:BGQ458766 BQK458762:BQM458766 CAG458762:CAI458766 CKC458762:CKE458766 CTY458762:CUA458766 DDU458762:DDW458766 DNQ458762:DNS458766 DXM458762:DXO458766 EHI458762:EHK458766 ERE458762:ERG458766 FBA458762:FBC458766 FKW458762:FKY458766 FUS458762:FUU458766 GEO458762:GEQ458766 GOK458762:GOM458766 GYG458762:GYI458766 HIC458762:HIE458766 HRY458762:HSA458766 IBU458762:IBW458766 ILQ458762:ILS458766 IVM458762:IVO458766 JFI458762:JFK458766 JPE458762:JPG458766 JZA458762:JZC458766 KIW458762:KIY458766 KSS458762:KSU458766 LCO458762:LCQ458766 LMK458762:LMM458766 LWG458762:LWI458766 MGC458762:MGE458766 MPY458762:MQA458766 MZU458762:MZW458766 NJQ458762:NJS458766 NTM458762:NTO458766 ODI458762:ODK458766 ONE458762:ONG458766 OXA458762:OXC458766 PGW458762:PGY458766 PQS458762:PQU458766 QAO458762:QAQ458766 QKK458762:QKM458766 QUG458762:QUI458766 REC458762:REE458766 RNY458762:ROA458766 RXU458762:RXW458766 SHQ458762:SHS458766 SRM458762:SRO458766 TBI458762:TBK458766 TLE458762:TLG458766 TVA458762:TVC458766 UEW458762:UEY458766 UOS458762:UOU458766 UYO458762:UYQ458766 VIK458762:VIM458766 VSG458762:VSI458766 WCC458762:WCE458766 WLY458762:WMA458766 WVU458762:WVW458766 M524298:O524302 JI524298:JK524302 TE524298:TG524302 ADA524298:ADC524302 AMW524298:AMY524302 AWS524298:AWU524302 BGO524298:BGQ524302 BQK524298:BQM524302 CAG524298:CAI524302 CKC524298:CKE524302 CTY524298:CUA524302 DDU524298:DDW524302 DNQ524298:DNS524302 DXM524298:DXO524302 EHI524298:EHK524302 ERE524298:ERG524302 FBA524298:FBC524302 FKW524298:FKY524302 FUS524298:FUU524302 GEO524298:GEQ524302 GOK524298:GOM524302 GYG524298:GYI524302 HIC524298:HIE524302 HRY524298:HSA524302 IBU524298:IBW524302 ILQ524298:ILS524302 IVM524298:IVO524302 JFI524298:JFK524302 JPE524298:JPG524302 JZA524298:JZC524302 KIW524298:KIY524302 KSS524298:KSU524302 LCO524298:LCQ524302 LMK524298:LMM524302 LWG524298:LWI524302 MGC524298:MGE524302 MPY524298:MQA524302 MZU524298:MZW524302 NJQ524298:NJS524302 NTM524298:NTO524302 ODI524298:ODK524302 ONE524298:ONG524302 OXA524298:OXC524302 PGW524298:PGY524302 PQS524298:PQU524302 QAO524298:QAQ524302 QKK524298:QKM524302 QUG524298:QUI524302 REC524298:REE524302 RNY524298:ROA524302 RXU524298:RXW524302 SHQ524298:SHS524302 SRM524298:SRO524302 TBI524298:TBK524302 TLE524298:TLG524302 TVA524298:TVC524302 UEW524298:UEY524302 UOS524298:UOU524302 UYO524298:UYQ524302 VIK524298:VIM524302 VSG524298:VSI524302 WCC524298:WCE524302 WLY524298:WMA524302 WVU524298:WVW524302 M589834:O589838 JI589834:JK589838 TE589834:TG589838 ADA589834:ADC589838 AMW589834:AMY589838 AWS589834:AWU589838 BGO589834:BGQ589838 BQK589834:BQM589838 CAG589834:CAI589838 CKC589834:CKE589838 CTY589834:CUA589838 DDU589834:DDW589838 DNQ589834:DNS589838 DXM589834:DXO589838 EHI589834:EHK589838 ERE589834:ERG589838 FBA589834:FBC589838 FKW589834:FKY589838 FUS589834:FUU589838 GEO589834:GEQ589838 GOK589834:GOM589838 GYG589834:GYI589838 HIC589834:HIE589838 HRY589834:HSA589838 IBU589834:IBW589838 ILQ589834:ILS589838 IVM589834:IVO589838 JFI589834:JFK589838 JPE589834:JPG589838 JZA589834:JZC589838 KIW589834:KIY589838 KSS589834:KSU589838 LCO589834:LCQ589838 LMK589834:LMM589838 LWG589834:LWI589838 MGC589834:MGE589838 MPY589834:MQA589838 MZU589834:MZW589838 NJQ589834:NJS589838 NTM589834:NTO589838 ODI589834:ODK589838 ONE589834:ONG589838 OXA589834:OXC589838 PGW589834:PGY589838 PQS589834:PQU589838 QAO589834:QAQ589838 QKK589834:QKM589838 QUG589834:QUI589838 REC589834:REE589838 RNY589834:ROA589838 RXU589834:RXW589838 SHQ589834:SHS589838 SRM589834:SRO589838 TBI589834:TBK589838 TLE589834:TLG589838 TVA589834:TVC589838 UEW589834:UEY589838 UOS589834:UOU589838 UYO589834:UYQ589838 VIK589834:VIM589838 VSG589834:VSI589838 WCC589834:WCE589838 WLY589834:WMA589838 WVU589834:WVW589838 M655370:O655374 JI655370:JK655374 TE655370:TG655374 ADA655370:ADC655374 AMW655370:AMY655374 AWS655370:AWU655374 BGO655370:BGQ655374 BQK655370:BQM655374 CAG655370:CAI655374 CKC655370:CKE655374 CTY655370:CUA655374 DDU655370:DDW655374 DNQ655370:DNS655374 DXM655370:DXO655374 EHI655370:EHK655374 ERE655370:ERG655374 FBA655370:FBC655374 FKW655370:FKY655374 FUS655370:FUU655374 GEO655370:GEQ655374 GOK655370:GOM655374 GYG655370:GYI655374 HIC655370:HIE655374 HRY655370:HSA655374 IBU655370:IBW655374 ILQ655370:ILS655374 IVM655370:IVO655374 JFI655370:JFK655374 JPE655370:JPG655374 JZA655370:JZC655374 KIW655370:KIY655374 KSS655370:KSU655374 LCO655370:LCQ655374 LMK655370:LMM655374 LWG655370:LWI655374 MGC655370:MGE655374 MPY655370:MQA655374 MZU655370:MZW655374 NJQ655370:NJS655374 NTM655370:NTO655374 ODI655370:ODK655374 ONE655370:ONG655374 OXA655370:OXC655374 PGW655370:PGY655374 PQS655370:PQU655374 QAO655370:QAQ655374 QKK655370:QKM655374 QUG655370:QUI655374 REC655370:REE655374 RNY655370:ROA655374 RXU655370:RXW655374 SHQ655370:SHS655374 SRM655370:SRO655374 TBI655370:TBK655374 TLE655370:TLG655374 TVA655370:TVC655374 UEW655370:UEY655374 UOS655370:UOU655374 UYO655370:UYQ655374 VIK655370:VIM655374 VSG655370:VSI655374 WCC655370:WCE655374 WLY655370:WMA655374 WVU655370:WVW655374 M720906:O720910 JI720906:JK720910 TE720906:TG720910 ADA720906:ADC720910 AMW720906:AMY720910 AWS720906:AWU720910 BGO720906:BGQ720910 BQK720906:BQM720910 CAG720906:CAI720910 CKC720906:CKE720910 CTY720906:CUA720910 DDU720906:DDW720910 DNQ720906:DNS720910 DXM720906:DXO720910 EHI720906:EHK720910 ERE720906:ERG720910 FBA720906:FBC720910 FKW720906:FKY720910 FUS720906:FUU720910 GEO720906:GEQ720910 GOK720906:GOM720910 GYG720906:GYI720910 HIC720906:HIE720910 HRY720906:HSA720910 IBU720906:IBW720910 ILQ720906:ILS720910 IVM720906:IVO720910 JFI720906:JFK720910 JPE720906:JPG720910 JZA720906:JZC720910 KIW720906:KIY720910 KSS720906:KSU720910 LCO720906:LCQ720910 LMK720906:LMM720910 LWG720906:LWI720910 MGC720906:MGE720910 MPY720906:MQA720910 MZU720906:MZW720910 NJQ720906:NJS720910 NTM720906:NTO720910 ODI720906:ODK720910 ONE720906:ONG720910 OXA720906:OXC720910 PGW720906:PGY720910 PQS720906:PQU720910 QAO720906:QAQ720910 QKK720906:QKM720910 QUG720906:QUI720910 REC720906:REE720910 RNY720906:ROA720910 RXU720906:RXW720910 SHQ720906:SHS720910 SRM720906:SRO720910 TBI720906:TBK720910 TLE720906:TLG720910 TVA720906:TVC720910 UEW720906:UEY720910 UOS720906:UOU720910 UYO720906:UYQ720910 VIK720906:VIM720910 VSG720906:VSI720910 WCC720906:WCE720910 WLY720906:WMA720910 WVU720906:WVW720910 M786442:O786446 JI786442:JK786446 TE786442:TG786446 ADA786442:ADC786446 AMW786442:AMY786446 AWS786442:AWU786446 BGO786442:BGQ786446 BQK786442:BQM786446 CAG786442:CAI786446 CKC786442:CKE786446 CTY786442:CUA786446 DDU786442:DDW786446 DNQ786442:DNS786446 DXM786442:DXO786446 EHI786442:EHK786446 ERE786442:ERG786446 FBA786442:FBC786446 FKW786442:FKY786446 FUS786442:FUU786446 GEO786442:GEQ786446 GOK786442:GOM786446 GYG786442:GYI786446 HIC786442:HIE786446 HRY786442:HSA786446 IBU786442:IBW786446 ILQ786442:ILS786446 IVM786442:IVO786446 JFI786442:JFK786446 JPE786442:JPG786446 JZA786442:JZC786446 KIW786442:KIY786446 KSS786442:KSU786446 LCO786442:LCQ786446 LMK786442:LMM786446 LWG786442:LWI786446 MGC786442:MGE786446 MPY786442:MQA786446 MZU786442:MZW786446 NJQ786442:NJS786446 NTM786442:NTO786446 ODI786442:ODK786446 ONE786442:ONG786446 OXA786442:OXC786446 PGW786442:PGY786446 PQS786442:PQU786446 QAO786442:QAQ786446 QKK786442:QKM786446 QUG786442:QUI786446 REC786442:REE786446 RNY786442:ROA786446 RXU786442:RXW786446 SHQ786442:SHS786446 SRM786442:SRO786446 TBI786442:TBK786446 TLE786442:TLG786446 TVA786442:TVC786446 UEW786442:UEY786446 UOS786442:UOU786446 UYO786442:UYQ786446 VIK786442:VIM786446 VSG786442:VSI786446 WCC786442:WCE786446 WLY786442:WMA786446 WVU786442:WVW786446 M851978:O851982 JI851978:JK851982 TE851978:TG851982 ADA851978:ADC851982 AMW851978:AMY851982 AWS851978:AWU851982 BGO851978:BGQ851982 BQK851978:BQM851982 CAG851978:CAI851982 CKC851978:CKE851982 CTY851978:CUA851982 DDU851978:DDW851982 DNQ851978:DNS851982 DXM851978:DXO851982 EHI851978:EHK851982 ERE851978:ERG851982 FBA851978:FBC851982 FKW851978:FKY851982 FUS851978:FUU851982 GEO851978:GEQ851982 GOK851978:GOM851982 GYG851978:GYI851982 HIC851978:HIE851982 HRY851978:HSA851982 IBU851978:IBW851982 ILQ851978:ILS851982 IVM851978:IVO851982 JFI851978:JFK851982 JPE851978:JPG851982 JZA851978:JZC851982 KIW851978:KIY851982 KSS851978:KSU851982 LCO851978:LCQ851982 LMK851978:LMM851982 LWG851978:LWI851982 MGC851978:MGE851982 MPY851978:MQA851982 MZU851978:MZW851982 NJQ851978:NJS851982 NTM851978:NTO851982 ODI851978:ODK851982 ONE851978:ONG851982 OXA851978:OXC851982 PGW851978:PGY851982 PQS851978:PQU851982 QAO851978:QAQ851982 QKK851978:QKM851982 QUG851978:QUI851982 REC851978:REE851982 RNY851978:ROA851982 RXU851978:RXW851982 SHQ851978:SHS851982 SRM851978:SRO851982 TBI851978:TBK851982 TLE851978:TLG851982 TVA851978:TVC851982 UEW851978:UEY851982 UOS851978:UOU851982 UYO851978:UYQ851982 VIK851978:VIM851982 VSG851978:VSI851982 WCC851978:WCE851982 WLY851978:WMA851982 WVU851978:WVW851982 M917514:O917518 JI917514:JK917518 TE917514:TG917518 ADA917514:ADC917518 AMW917514:AMY917518 AWS917514:AWU917518 BGO917514:BGQ917518 BQK917514:BQM917518 CAG917514:CAI917518 CKC917514:CKE917518 CTY917514:CUA917518 DDU917514:DDW917518 DNQ917514:DNS917518 DXM917514:DXO917518 EHI917514:EHK917518 ERE917514:ERG917518 FBA917514:FBC917518 FKW917514:FKY917518 FUS917514:FUU917518 GEO917514:GEQ917518 GOK917514:GOM917518 GYG917514:GYI917518 HIC917514:HIE917518 HRY917514:HSA917518 IBU917514:IBW917518 ILQ917514:ILS917518 IVM917514:IVO917518 JFI917514:JFK917518 JPE917514:JPG917518 JZA917514:JZC917518 KIW917514:KIY917518 KSS917514:KSU917518 LCO917514:LCQ917518 LMK917514:LMM917518 LWG917514:LWI917518 MGC917514:MGE917518 MPY917514:MQA917518 MZU917514:MZW917518 NJQ917514:NJS917518 NTM917514:NTO917518 ODI917514:ODK917518 ONE917514:ONG917518 OXA917514:OXC917518 PGW917514:PGY917518 PQS917514:PQU917518 QAO917514:QAQ917518 QKK917514:QKM917518 QUG917514:QUI917518 REC917514:REE917518 RNY917514:ROA917518 RXU917514:RXW917518 SHQ917514:SHS917518 SRM917514:SRO917518 TBI917514:TBK917518 TLE917514:TLG917518 TVA917514:TVC917518 UEW917514:UEY917518 UOS917514:UOU917518 UYO917514:UYQ917518 VIK917514:VIM917518 VSG917514:VSI917518 WCC917514:WCE917518 WLY917514:WMA917518 WVU917514:WVW917518 M983050:O983054 JI983050:JK983054 TE983050:TG983054 ADA983050:ADC983054 AMW983050:AMY983054 AWS983050:AWU983054 BGO983050:BGQ983054 BQK983050:BQM983054 CAG983050:CAI983054 CKC983050:CKE983054 CTY983050:CUA983054 DDU983050:DDW983054 DNQ983050:DNS983054 DXM983050:DXO983054 EHI983050:EHK983054 ERE983050:ERG983054 FBA983050:FBC983054 FKW983050:FKY983054 FUS983050:FUU983054 GEO983050:GEQ983054 GOK983050:GOM983054 GYG983050:GYI983054 HIC983050:HIE983054 HRY983050:HSA983054 IBU983050:IBW983054 ILQ983050:ILS983054 IVM983050:IVO983054 JFI983050:JFK983054 JPE983050:JPG983054 JZA983050:JZC983054 KIW983050:KIY983054 KSS983050:KSU983054 LCO983050:LCQ983054 LMK983050:LMM983054 LWG983050:LWI983054 MGC983050:MGE983054 MPY983050:MQA983054 MZU983050:MZW983054 NJQ983050:NJS983054 NTM983050:NTO983054 ODI983050:ODK983054 ONE983050:ONG983054 OXA983050:OXC983054 PGW983050:PGY983054 PQS983050:PQU983054 QAO983050:QAQ983054 QKK983050:QKM983054 QUG983050:QUI983054 REC983050:REE983054 RNY983050:ROA983054 RXU983050:RXW983054 SHQ983050:SHS983054 SRM983050:SRO983054 TBI983050:TBK983054 TLE983050:TLG983054 TVA983050:TVC983054 UEW983050:UEY983054 UOS983050:UOU983054 UYO983050:UYQ983054 VIK983050:VIM983054 VSG983050:VSI983054 WCC983050:WCE983054 WLY983050:WMA983054 WVU983050:WVW983054" xr:uid="{94F05615-6885-4861-8F85-2D528DD9FC2A}">
      <formula1>$E$53:$E$54</formula1>
    </dataValidation>
    <dataValidation type="list" allowBlank="1" showErrorMessage="1" errorTitle="Input not valid" error="Please select the year by pushing the drop-down arrow and clicking the correct year" prompt="Select the year" sqref="B23:B31 IX23:IX31 ST23:ST31 ACP23:ACP31 AML23:AML31 AWH23:AWH31 BGD23:BGD31 BPZ23:BPZ31 BZV23:BZV31 CJR23:CJR31 CTN23:CTN31 DDJ23:DDJ31 DNF23:DNF31 DXB23:DXB31 EGX23:EGX31 EQT23:EQT31 FAP23:FAP31 FKL23:FKL31 FUH23:FUH31 GED23:GED31 GNZ23:GNZ31 GXV23:GXV31 HHR23:HHR31 HRN23:HRN31 IBJ23:IBJ31 ILF23:ILF31 IVB23:IVB31 JEX23:JEX31 JOT23:JOT31 JYP23:JYP31 KIL23:KIL31 KSH23:KSH31 LCD23:LCD31 LLZ23:LLZ31 LVV23:LVV31 MFR23:MFR31 MPN23:MPN31 MZJ23:MZJ31 NJF23:NJF31 NTB23:NTB31 OCX23:OCX31 OMT23:OMT31 OWP23:OWP31 PGL23:PGL31 PQH23:PQH31 QAD23:QAD31 QJZ23:QJZ31 QTV23:QTV31 RDR23:RDR31 RNN23:RNN31 RXJ23:RXJ31 SHF23:SHF31 SRB23:SRB31 TAX23:TAX31 TKT23:TKT31 TUP23:TUP31 UEL23:UEL31 UOH23:UOH31 UYD23:UYD31 VHZ23:VHZ31 VRV23:VRV31 WBR23:WBR31 WLN23:WLN31 WVJ23:WVJ31 B65559:B65567 IX65559:IX65567 ST65559:ST65567 ACP65559:ACP65567 AML65559:AML65567 AWH65559:AWH65567 BGD65559:BGD65567 BPZ65559:BPZ65567 BZV65559:BZV65567 CJR65559:CJR65567 CTN65559:CTN65567 DDJ65559:DDJ65567 DNF65559:DNF65567 DXB65559:DXB65567 EGX65559:EGX65567 EQT65559:EQT65567 FAP65559:FAP65567 FKL65559:FKL65567 FUH65559:FUH65567 GED65559:GED65567 GNZ65559:GNZ65567 GXV65559:GXV65567 HHR65559:HHR65567 HRN65559:HRN65567 IBJ65559:IBJ65567 ILF65559:ILF65567 IVB65559:IVB65567 JEX65559:JEX65567 JOT65559:JOT65567 JYP65559:JYP65567 KIL65559:KIL65567 KSH65559:KSH65567 LCD65559:LCD65567 LLZ65559:LLZ65567 LVV65559:LVV65567 MFR65559:MFR65567 MPN65559:MPN65567 MZJ65559:MZJ65567 NJF65559:NJF65567 NTB65559:NTB65567 OCX65559:OCX65567 OMT65559:OMT65567 OWP65559:OWP65567 PGL65559:PGL65567 PQH65559:PQH65567 QAD65559:QAD65567 QJZ65559:QJZ65567 QTV65559:QTV65567 RDR65559:RDR65567 RNN65559:RNN65567 RXJ65559:RXJ65567 SHF65559:SHF65567 SRB65559:SRB65567 TAX65559:TAX65567 TKT65559:TKT65567 TUP65559:TUP65567 UEL65559:UEL65567 UOH65559:UOH65567 UYD65559:UYD65567 VHZ65559:VHZ65567 VRV65559:VRV65567 WBR65559:WBR65567 WLN65559:WLN65567 WVJ65559:WVJ65567 B131095:B131103 IX131095:IX131103 ST131095:ST131103 ACP131095:ACP131103 AML131095:AML131103 AWH131095:AWH131103 BGD131095:BGD131103 BPZ131095:BPZ131103 BZV131095:BZV131103 CJR131095:CJR131103 CTN131095:CTN131103 DDJ131095:DDJ131103 DNF131095:DNF131103 DXB131095:DXB131103 EGX131095:EGX131103 EQT131095:EQT131103 FAP131095:FAP131103 FKL131095:FKL131103 FUH131095:FUH131103 GED131095:GED131103 GNZ131095:GNZ131103 GXV131095:GXV131103 HHR131095:HHR131103 HRN131095:HRN131103 IBJ131095:IBJ131103 ILF131095:ILF131103 IVB131095:IVB131103 JEX131095:JEX131103 JOT131095:JOT131103 JYP131095:JYP131103 KIL131095:KIL131103 KSH131095:KSH131103 LCD131095:LCD131103 LLZ131095:LLZ131103 LVV131095:LVV131103 MFR131095:MFR131103 MPN131095:MPN131103 MZJ131095:MZJ131103 NJF131095:NJF131103 NTB131095:NTB131103 OCX131095:OCX131103 OMT131095:OMT131103 OWP131095:OWP131103 PGL131095:PGL131103 PQH131095:PQH131103 QAD131095:QAD131103 QJZ131095:QJZ131103 QTV131095:QTV131103 RDR131095:RDR131103 RNN131095:RNN131103 RXJ131095:RXJ131103 SHF131095:SHF131103 SRB131095:SRB131103 TAX131095:TAX131103 TKT131095:TKT131103 TUP131095:TUP131103 UEL131095:UEL131103 UOH131095:UOH131103 UYD131095:UYD131103 VHZ131095:VHZ131103 VRV131095:VRV131103 WBR131095:WBR131103 WLN131095:WLN131103 WVJ131095:WVJ131103 B196631:B196639 IX196631:IX196639 ST196631:ST196639 ACP196631:ACP196639 AML196631:AML196639 AWH196631:AWH196639 BGD196631:BGD196639 BPZ196631:BPZ196639 BZV196631:BZV196639 CJR196631:CJR196639 CTN196631:CTN196639 DDJ196631:DDJ196639 DNF196631:DNF196639 DXB196631:DXB196639 EGX196631:EGX196639 EQT196631:EQT196639 FAP196631:FAP196639 FKL196631:FKL196639 FUH196631:FUH196639 GED196631:GED196639 GNZ196631:GNZ196639 GXV196631:GXV196639 HHR196631:HHR196639 HRN196631:HRN196639 IBJ196631:IBJ196639 ILF196631:ILF196639 IVB196631:IVB196639 JEX196631:JEX196639 JOT196631:JOT196639 JYP196631:JYP196639 KIL196631:KIL196639 KSH196631:KSH196639 LCD196631:LCD196639 LLZ196631:LLZ196639 LVV196631:LVV196639 MFR196631:MFR196639 MPN196631:MPN196639 MZJ196631:MZJ196639 NJF196631:NJF196639 NTB196631:NTB196639 OCX196631:OCX196639 OMT196631:OMT196639 OWP196631:OWP196639 PGL196631:PGL196639 PQH196631:PQH196639 QAD196631:QAD196639 QJZ196631:QJZ196639 QTV196631:QTV196639 RDR196631:RDR196639 RNN196631:RNN196639 RXJ196631:RXJ196639 SHF196631:SHF196639 SRB196631:SRB196639 TAX196631:TAX196639 TKT196631:TKT196639 TUP196631:TUP196639 UEL196631:UEL196639 UOH196631:UOH196639 UYD196631:UYD196639 VHZ196631:VHZ196639 VRV196631:VRV196639 WBR196631:WBR196639 WLN196631:WLN196639 WVJ196631:WVJ196639 B262167:B262175 IX262167:IX262175 ST262167:ST262175 ACP262167:ACP262175 AML262167:AML262175 AWH262167:AWH262175 BGD262167:BGD262175 BPZ262167:BPZ262175 BZV262167:BZV262175 CJR262167:CJR262175 CTN262167:CTN262175 DDJ262167:DDJ262175 DNF262167:DNF262175 DXB262167:DXB262175 EGX262167:EGX262175 EQT262167:EQT262175 FAP262167:FAP262175 FKL262167:FKL262175 FUH262167:FUH262175 GED262167:GED262175 GNZ262167:GNZ262175 GXV262167:GXV262175 HHR262167:HHR262175 HRN262167:HRN262175 IBJ262167:IBJ262175 ILF262167:ILF262175 IVB262167:IVB262175 JEX262167:JEX262175 JOT262167:JOT262175 JYP262167:JYP262175 KIL262167:KIL262175 KSH262167:KSH262175 LCD262167:LCD262175 LLZ262167:LLZ262175 LVV262167:LVV262175 MFR262167:MFR262175 MPN262167:MPN262175 MZJ262167:MZJ262175 NJF262167:NJF262175 NTB262167:NTB262175 OCX262167:OCX262175 OMT262167:OMT262175 OWP262167:OWP262175 PGL262167:PGL262175 PQH262167:PQH262175 QAD262167:QAD262175 QJZ262167:QJZ262175 QTV262167:QTV262175 RDR262167:RDR262175 RNN262167:RNN262175 RXJ262167:RXJ262175 SHF262167:SHF262175 SRB262167:SRB262175 TAX262167:TAX262175 TKT262167:TKT262175 TUP262167:TUP262175 UEL262167:UEL262175 UOH262167:UOH262175 UYD262167:UYD262175 VHZ262167:VHZ262175 VRV262167:VRV262175 WBR262167:WBR262175 WLN262167:WLN262175 WVJ262167:WVJ262175 B327703:B327711 IX327703:IX327711 ST327703:ST327711 ACP327703:ACP327711 AML327703:AML327711 AWH327703:AWH327711 BGD327703:BGD327711 BPZ327703:BPZ327711 BZV327703:BZV327711 CJR327703:CJR327711 CTN327703:CTN327711 DDJ327703:DDJ327711 DNF327703:DNF327711 DXB327703:DXB327711 EGX327703:EGX327711 EQT327703:EQT327711 FAP327703:FAP327711 FKL327703:FKL327711 FUH327703:FUH327711 GED327703:GED327711 GNZ327703:GNZ327711 GXV327703:GXV327711 HHR327703:HHR327711 HRN327703:HRN327711 IBJ327703:IBJ327711 ILF327703:ILF327711 IVB327703:IVB327711 JEX327703:JEX327711 JOT327703:JOT327711 JYP327703:JYP327711 KIL327703:KIL327711 KSH327703:KSH327711 LCD327703:LCD327711 LLZ327703:LLZ327711 LVV327703:LVV327711 MFR327703:MFR327711 MPN327703:MPN327711 MZJ327703:MZJ327711 NJF327703:NJF327711 NTB327703:NTB327711 OCX327703:OCX327711 OMT327703:OMT327711 OWP327703:OWP327711 PGL327703:PGL327711 PQH327703:PQH327711 QAD327703:QAD327711 QJZ327703:QJZ327711 QTV327703:QTV327711 RDR327703:RDR327711 RNN327703:RNN327711 RXJ327703:RXJ327711 SHF327703:SHF327711 SRB327703:SRB327711 TAX327703:TAX327711 TKT327703:TKT327711 TUP327703:TUP327711 UEL327703:UEL327711 UOH327703:UOH327711 UYD327703:UYD327711 VHZ327703:VHZ327711 VRV327703:VRV327711 WBR327703:WBR327711 WLN327703:WLN327711 WVJ327703:WVJ327711 B393239:B393247 IX393239:IX393247 ST393239:ST393247 ACP393239:ACP393247 AML393239:AML393247 AWH393239:AWH393247 BGD393239:BGD393247 BPZ393239:BPZ393247 BZV393239:BZV393247 CJR393239:CJR393247 CTN393239:CTN393247 DDJ393239:DDJ393247 DNF393239:DNF393247 DXB393239:DXB393247 EGX393239:EGX393247 EQT393239:EQT393247 FAP393239:FAP393247 FKL393239:FKL393247 FUH393239:FUH393247 GED393239:GED393247 GNZ393239:GNZ393247 GXV393239:GXV393247 HHR393239:HHR393247 HRN393239:HRN393247 IBJ393239:IBJ393247 ILF393239:ILF393247 IVB393239:IVB393247 JEX393239:JEX393247 JOT393239:JOT393247 JYP393239:JYP393247 KIL393239:KIL393247 KSH393239:KSH393247 LCD393239:LCD393247 LLZ393239:LLZ393247 LVV393239:LVV393247 MFR393239:MFR393247 MPN393239:MPN393247 MZJ393239:MZJ393247 NJF393239:NJF393247 NTB393239:NTB393247 OCX393239:OCX393247 OMT393239:OMT393247 OWP393239:OWP393247 PGL393239:PGL393247 PQH393239:PQH393247 QAD393239:QAD393247 QJZ393239:QJZ393247 QTV393239:QTV393247 RDR393239:RDR393247 RNN393239:RNN393247 RXJ393239:RXJ393247 SHF393239:SHF393247 SRB393239:SRB393247 TAX393239:TAX393247 TKT393239:TKT393247 TUP393239:TUP393247 UEL393239:UEL393247 UOH393239:UOH393247 UYD393239:UYD393247 VHZ393239:VHZ393247 VRV393239:VRV393247 WBR393239:WBR393247 WLN393239:WLN393247 WVJ393239:WVJ393247 B458775:B458783 IX458775:IX458783 ST458775:ST458783 ACP458775:ACP458783 AML458775:AML458783 AWH458775:AWH458783 BGD458775:BGD458783 BPZ458775:BPZ458783 BZV458775:BZV458783 CJR458775:CJR458783 CTN458775:CTN458783 DDJ458775:DDJ458783 DNF458775:DNF458783 DXB458775:DXB458783 EGX458775:EGX458783 EQT458775:EQT458783 FAP458775:FAP458783 FKL458775:FKL458783 FUH458775:FUH458783 GED458775:GED458783 GNZ458775:GNZ458783 GXV458775:GXV458783 HHR458775:HHR458783 HRN458775:HRN458783 IBJ458775:IBJ458783 ILF458775:ILF458783 IVB458775:IVB458783 JEX458775:JEX458783 JOT458775:JOT458783 JYP458775:JYP458783 KIL458775:KIL458783 KSH458775:KSH458783 LCD458775:LCD458783 LLZ458775:LLZ458783 LVV458775:LVV458783 MFR458775:MFR458783 MPN458775:MPN458783 MZJ458775:MZJ458783 NJF458775:NJF458783 NTB458775:NTB458783 OCX458775:OCX458783 OMT458775:OMT458783 OWP458775:OWP458783 PGL458775:PGL458783 PQH458775:PQH458783 QAD458775:QAD458783 QJZ458775:QJZ458783 QTV458775:QTV458783 RDR458775:RDR458783 RNN458775:RNN458783 RXJ458775:RXJ458783 SHF458775:SHF458783 SRB458775:SRB458783 TAX458775:TAX458783 TKT458775:TKT458783 TUP458775:TUP458783 UEL458775:UEL458783 UOH458775:UOH458783 UYD458775:UYD458783 VHZ458775:VHZ458783 VRV458775:VRV458783 WBR458775:WBR458783 WLN458775:WLN458783 WVJ458775:WVJ458783 B524311:B524319 IX524311:IX524319 ST524311:ST524319 ACP524311:ACP524319 AML524311:AML524319 AWH524311:AWH524319 BGD524311:BGD524319 BPZ524311:BPZ524319 BZV524311:BZV524319 CJR524311:CJR524319 CTN524311:CTN524319 DDJ524311:DDJ524319 DNF524311:DNF524319 DXB524311:DXB524319 EGX524311:EGX524319 EQT524311:EQT524319 FAP524311:FAP524319 FKL524311:FKL524319 FUH524311:FUH524319 GED524311:GED524319 GNZ524311:GNZ524319 GXV524311:GXV524319 HHR524311:HHR524319 HRN524311:HRN524319 IBJ524311:IBJ524319 ILF524311:ILF524319 IVB524311:IVB524319 JEX524311:JEX524319 JOT524311:JOT524319 JYP524311:JYP524319 KIL524311:KIL524319 KSH524311:KSH524319 LCD524311:LCD524319 LLZ524311:LLZ524319 LVV524311:LVV524319 MFR524311:MFR524319 MPN524311:MPN524319 MZJ524311:MZJ524319 NJF524311:NJF524319 NTB524311:NTB524319 OCX524311:OCX524319 OMT524311:OMT524319 OWP524311:OWP524319 PGL524311:PGL524319 PQH524311:PQH524319 QAD524311:QAD524319 QJZ524311:QJZ524319 QTV524311:QTV524319 RDR524311:RDR524319 RNN524311:RNN524319 RXJ524311:RXJ524319 SHF524311:SHF524319 SRB524311:SRB524319 TAX524311:TAX524319 TKT524311:TKT524319 TUP524311:TUP524319 UEL524311:UEL524319 UOH524311:UOH524319 UYD524311:UYD524319 VHZ524311:VHZ524319 VRV524311:VRV524319 WBR524311:WBR524319 WLN524311:WLN524319 WVJ524311:WVJ524319 B589847:B589855 IX589847:IX589855 ST589847:ST589855 ACP589847:ACP589855 AML589847:AML589855 AWH589847:AWH589855 BGD589847:BGD589855 BPZ589847:BPZ589855 BZV589847:BZV589855 CJR589847:CJR589855 CTN589847:CTN589855 DDJ589847:DDJ589855 DNF589847:DNF589855 DXB589847:DXB589855 EGX589847:EGX589855 EQT589847:EQT589855 FAP589847:FAP589855 FKL589847:FKL589855 FUH589847:FUH589855 GED589847:GED589855 GNZ589847:GNZ589855 GXV589847:GXV589855 HHR589847:HHR589855 HRN589847:HRN589855 IBJ589847:IBJ589855 ILF589847:ILF589855 IVB589847:IVB589855 JEX589847:JEX589855 JOT589847:JOT589855 JYP589847:JYP589855 KIL589847:KIL589855 KSH589847:KSH589855 LCD589847:LCD589855 LLZ589847:LLZ589855 LVV589847:LVV589855 MFR589847:MFR589855 MPN589847:MPN589855 MZJ589847:MZJ589855 NJF589847:NJF589855 NTB589847:NTB589855 OCX589847:OCX589855 OMT589847:OMT589855 OWP589847:OWP589855 PGL589847:PGL589855 PQH589847:PQH589855 QAD589847:QAD589855 QJZ589847:QJZ589855 QTV589847:QTV589855 RDR589847:RDR589855 RNN589847:RNN589855 RXJ589847:RXJ589855 SHF589847:SHF589855 SRB589847:SRB589855 TAX589847:TAX589855 TKT589847:TKT589855 TUP589847:TUP589855 UEL589847:UEL589855 UOH589847:UOH589855 UYD589847:UYD589855 VHZ589847:VHZ589855 VRV589847:VRV589855 WBR589847:WBR589855 WLN589847:WLN589855 WVJ589847:WVJ589855 B655383:B655391 IX655383:IX655391 ST655383:ST655391 ACP655383:ACP655391 AML655383:AML655391 AWH655383:AWH655391 BGD655383:BGD655391 BPZ655383:BPZ655391 BZV655383:BZV655391 CJR655383:CJR655391 CTN655383:CTN655391 DDJ655383:DDJ655391 DNF655383:DNF655391 DXB655383:DXB655391 EGX655383:EGX655391 EQT655383:EQT655391 FAP655383:FAP655391 FKL655383:FKL655391 FUH655383:FUH655391 GED655383:GED655391 GNZ655383:GNZ655391 GXV655383:GXV655391 HHR655383:HHR655391 HRN655383:HRN655391 IBJ655383:IBJ655391 ILF655383:ILF655391 IVB655383:IVB655391 JEX655383:JEX655391 JOT655383:JOT655391 JYP655383:JYP655391 KIL655383:KIL655391 KSH655383:KSH655391 LCD655383:LCD655391 LLZ655383:LLZ655391 LVV655383:LVV655391 MFR655383:MFR655391 MPN655383:MPN655391 MZJ655383:MZJ655391 NJF655383:NJF655391 NTB655383:NTB655391 OCX655383:OCX655391 OMT655383:OMT655391 OWP655383:OWP655391 PGL655383:PGL655391 PQH655383:PQH655391 QAD655383:QAD655391 QJZ655383:QJZ655391 QTV655383:QTV655391 RDR655383:RDR655391 RNN655383:RNN655391 RXJ655383:RXJ655391 SHF655383:SHF655391 SRB655383:SRB655391 TAX655383:TAX655391 TKT655383:TKT655391 TUP655383:TUP655391 UEL655383:UEL655391 UOH655383:UOH655391 UYD655383:UYD655391 VHZ655383:VHZ655391 VRV655383:VRV655391 WBR655383:WBR655391 WLN655383:WLN655391 WVJ655383:WVJ655391 B720919:B720927 IX720919:IX720927 ST720919:ST720927 ACP720919:ACP720927 AML720919:AML720927 AWH720919:AWH720927 BGD720919:BGD720927 BPZ720919:BPZ720927 BZV720919:BZV720927 CJR720919:CJR720927 CTN720919:CTN720927 DDJ720919:DDJ720927 DNF720919:DNF720927 DXB720919:DXB720927 EGX720919:EGX720927 EQT720919:EQT720927 FAP720919:FAP720927 FKL720919:FKL720927 FUH720919:FUH720927 GED720919:GED720927 GNZ720919:GNZ720927 GXV720919:GXV720927 HHR720919:HHR720927 HRN720919:HRN720927 IBJ720919:IBJ720927 ILF720919:ILF720927 IVB720919:IVB720927 JEX720919:JEX720927 JOT720919:JOT720927 JYP720919:JYP720927 KIL720919:KIL720927 KSH720919:KSH720927 LCD720919:LCD720927 LLZ720919:LLZ720927 LVV720919:LVV720927 MFR720919:MFR720927 MPN720919:MPN720927 MZJ720919:MZJ720927 NJF720919:NJF720927 NTB720919:NTB720927 OCX720919:OCX720927 OMT720919:OMT720927 OWP720919:OWP720927 PGL720919:PGL720927 PQH720919:PQH720927 QAD720919:QAD720927 QJZ720919:QJZ720927 QTV720919:QTV720927 RDR720919:RDR720927 RNN720919:RNN720927 RXJ720919:RXJ720927 SHF720919:SHF720927 SRB720919:SRB720927 TAX720919:TAX720927 TKT720919:TKT720927 TUP720919:TUP720927 UEL720919:UEL720927 UOH720919:UOH720927 UYD720919:UYD720927 VHZ720919:VHZ720927 VRV720919:VRV720927 WBR720919:WBR720927 WLN720919:WLN720927 WVJ720919:WVJ720927 B786455:B786463 IX786455:IX786463 ST786455:ST786463 ACP786455:ACP786463 AML786455:AML786463 AWH786455:AWH786463 BGD786455:BGD786463 BPZ786455:BPZ786463 BZV786455:BZV786463 CJR786455:CJR786463 CTN786455:CTN786463 DDJ786455:DDJ786463 DNF786455:DNF786463 DXB786455:DXB786463 EGX786455:EGX786463 EQT786455:EQT786463 FAP786455:FAP786463 FKL786455:FKL786463 FUH786455:FUH786463 GED786455:GED786463 GNZ786455:GNZ786463 GXV786455:GXV786463 HHR786455:HHR786463 HRN786455:HRN786463 IBJ786455:IBJ786463 ILF786455:ILF786463 IVB786455:IVB786463 JEX786455:JEX786463 JOT786455:JOT786463 JYP786455:JYP786463 KIL786455:KIL786463 KSH786455:KSH786463 LCD786455:LCD786463 LLZ786455:LLZ786463 LVV786455:LVV786463 MFR786455:MFR786463 MPN786455:MPN786463 MZJ786455:MZJ786463 NJF786455:NJF786463 NTB786455:NTB786463 OCX786455:OCX786463 OMT786455:OMT786463 OWP786455:OWP786463 PGL786455:PGL786463 PQH786455:PQH786463 QAD786455:QAD786463 QJZ786455:QJZ786463 QTV786455:QTV786463 RDR786455:RDR786463 RNN786455:RNN786463 RXJ786455:RXJ786463 SHF786455:SHF786463 SRB786455:SRB786463 TAX786455:TAX786463 TKT786455:TKT786463 TUP786455:TUP786463 UEL786455:UEL786463 UOH786455:UOH786463 UYD786455:UYD786463 VHZ786455:VHZ786463 VRV786455:VRV786463 WBR786455:WBR786463 WLN786455:WLN786463 WVJ786455:WVJ786463 B851991:B851999 IX851991:IX851999 ST851991:ST851999 ACP851991:ACP851999 AML851991:AML851999 AWH851991:AWH851999 BGD851991:BGD851999 BPZ851991:BPZ851999 BZV851991:BZV851999 CJR851991:CJR851999 CTN851991:CTN851999 DDJ851991:DDJ851999 DNF851991:DNF851999 DXB851991:DXB851999 EGX851991:EGX851999 EQT851991:EQT851999 FAP851991:FAP851999 FKL851991:FKL851999 FUH851991:FUH851999 GED851991:GED851999 GNZ851991:GNZ851999 GXV851991:GXV851999 HHR851991:HHR851999 HRN851991:HRN851999 IBJ851991:IBJ851999 ILF851991:ILF851999 IVB851991:IVB851999 JEX851991:JEX851999 JOT851991:JOT851999 JYP851991:JYP851999 KIL851991:KIL851999 KSH851991:KSH851999 LCD851991:LCD851999 LLZ851991:LLZ851999 LVV851991:LVV851999 MFR851991:MFR851999 MPN851991:MPN851999 MZJ851991:MZJ851999 NJF851991:NJF851999 NTB851991:NTB851999 OCX851991:OCX851999 OMT851991:OMT851999 OWP851991:OWP851999 PGL851991:PGL851999 PQH851991:PQH851999 QAD851991:QAD851999 QJZ851991:QJZ851999 QTV851991:QTV851999 RDR851991:RDR851999 RNN851991:RNN851999 RXJ851991:RXJ851999 SHF851991:SHF851999 SRB851991:SRB851999 TAX851991:TAX851999 TKT851991:TKT851999 TUP851991:TUP851999 UEL851991:UEL851999 UOH851991:UOH851999 UYD851991:UYD851999 VHZ851991:VHZ851999 VRV851991:VRV851999 WBR851991:WBR851999 WLN851991:WLN851999 WVJ851991:WVJ851999 B917527:B917535 IX917527:IX917535 ST917527:ST917535 ACP917527:ACP917535 AML917527:AML917535 AWH917527:AWH917535 BGD917527:BGD917535 BPZ917527:BPZ917535 BZV917527:BZV917535 CJR917527:CJR917535 CTN917527:CTN917535 DDJ917527:DDJ917535 DNF917527:DNF917535 DXB917527:DXB917535 EGX917527:EGX917535 EQT917527:EQT917535 FAP917527:FAP917535 FKL917527:FKL917535 FUH917527:FUH917535 GED917527:GED917535 GNZ917527:GNZ917535 GXV917527:GXV917535 HHR917527:HHR917535 HRN917527:HRN917535 IBJ917527:IBJ917535 ILF917527:ILF917535 IVB917527:IVB917535 JEX917527:JEX917535 JOT917527:JOT917535 JYP917527:JYP917535 KIL917527:KIL917535 KSH917527:KSH917535 LCD917527:LCD917535 LLZ917527:LLZ917535 LVV917527:LVV917535 MFR917527:MFR917535 MPN917527:MPN917535 MZJ917527:MZJ917535 NJF917527:NJF917535 NTB917527:NTB917535 OCX917527:OCX917535 OMT917527:OMT917535 OWP917527:OWP917535 PGL917527:PGL917535 PQH917527:PQH917535 QAD917527:QAD917535 QJZ917527:QJZ917535 QTV917527:QTV917535 RDR917527:RDR917535 RNN917527:RNN917535 RXJ917527:RXJ917535 SHF917527:SHF917535 SRB917527:SRB917535 TAX917527:TAX917535 TKT917527:TKT917535 TUP917527:TUP917535 UEL917527:UEL917535 UOH917527:UOH917535 UYD917527:UYD917535 VHZ917527:VHZ917535 VRV917527:VRV917535 WBR917527:WBR917535 WLN917527:WLN917535 WVJ917527:WVJ917535 B983063:B983071 IX983063:IX983071 ST983063:ST983071 ACP983063:ACP983071 AML983063:AML983071 AWH983063:AWH983071 BGD983063:BGD983071 BPZ983063:BPZ983071 BZV983063:BZV983071 CJR983063:CJR983071 CTN983063:CTN983071 DDJ983063:DDJ983071 DNF983063:DNF983071 DXB983063:DXB983071 EGX983063:EGX983071 EQT983063:EQT983071 FAP983063:FAP983071 FKL983063:FKL983071 FUH983063:FUH983071 GED983063:GED983071 GNZ983063:GNZ983071 GXV983063:GXV983071 HHR983063:HHR983071 HRN983063:HRN983071 IBJ983063:IBJ983071 ILF983063:ILF983071 IVB983063:IVB983071 JEX983063:JEX983071 JOT983063:JOT983071 JYP983063:JYP983071 KIL983063:KIL983071 KSH983063:KSH983071 LCD983063:LCD983071 LLZ983063:LLZ983071 LVV983063:LVV983071 MFR983063:MFR983071 MPN983063:MPN983071 MZJ983063:MZJ983071 NJF983063:NJF983071 NTB983063:NTB983071 OCX983063:OCX983071 OMT983063:OMT983071 OWP983063:OWP983071 PGL983063:PGL983071 PQH983063:PQH983071 QAD983063:QAD983071 QJZ983063:QJZ983071 QTV983063:QTV983071 RDR983063:RDR983071 RNN983063:RNN983071 RXJ983063:RXJ983071 SHF983063:SHF983071 SRB983063:SRB983071 TAX983063:TAX983071 TKT983063:TKT983071 TUP983063:TUP983071 UEL983063:UEL983071 UOH983063:UOH983071 UYD983063:UYD983071 VHZ983063:VHZ983071 VRV983063:VRV983071 WBR983063:WBR983071 WLN983063:WLN983071 WVJ983063:WVJ983071" xr:uid="{58EB4313-3899-46B7-A059-6864DDCF4BD0}">
      <formula1>$A$53:$A$93</formula1>
    </dataValidation>
  </dataValidations>
  <printOptions horizontalCentered="1"/>
  <pageMargins left="0.74803149606299213" right="0.74803149606299213" top="0.98425196850393704" bottom="0.98425196850393704" header="0.51181102362204722" footer="0.51181102362204722"/>
  <pageSetup paperSize="9" scale="97" orientation="portrait" r:id="rId1"/>
  <headerFooter scaleWithDoc="0" alignWithMargins="0">
    <oddHeader>&amp;L&amp;"-,Regular"&amp;8&amp;F&amp;R&amp;"-,Regular"&amp;8&amp;A
_______________________________________________________________________________</oddHeader>
    <oddFooter>&amp;L&amp;"-,Regular"&amp;8_______________________________________________________________________________
NZ Transport Agency’s Economic evaluation manual 
Effective from Jul 2013</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29D3F-4D4B-4EAB-A9E9-E2EF43AFE283}">
  <sheetPr>
    <pageSetUpPr fitToPage="1"/>
  </sheetPr>
  <dimension ref="A1:AJ88"/>
  <sheetViews>
    <sheetView topLeftCell="A10" zoomScaleNormal="100" workbookViewId="0">
      <selection activeCell="K32" sqref="K32:M32"/>
    </sheetView>
  </sheetViews>
  <sheetFormatPr defaultColWidth="7.69921875" defaultRowHeight="12.6"/>
  <cols>
    <col min="1" max="1" width="1.796875" style="61" customWidth="1"/>
    <col min="2" max="2" width="8.296875" style="61" customWidth="1"/>
    <col min="3" max="9" width="3.19921875" style="61" customWidth="1"/>
    <col min="10" max="10" width="4.296875" style="61" customWidth="1"/>
    <col min="11" max="19" width="4.69921875" style="61" customWidth="1"/>
    <col min="20" max="20" width="3" style="62" customWidth="1"/>
    <col min="21" max="21" width="13.69921875" style="61" customWidth="1"/>
    <col min="22" max="22" width="26.69921875" style="61" customWidth="1"/>
    <col min="23" max="26" width="13.69921875" style="61" customWidth="1"/>
    <col min="27" max="27" width="7.69921875" style="61" customWidth="1"/>
    <col min="28" max="31" width="7.69921875" style="61"/>
    <col min="32" max="32" width="0" style="61" hidden="1" customWidth="1"/>
    <col min="33" max="36" width="7.69921875" style="61" hidden="1" customWidth="1"/>
    <col min="37" max="37" width="0" style="61" hidden="1" customWidth="1"/>
    <col min="38" max="256" width="7.69921875" style="61"/>
    <col min="257" max="257" width="1.796875" style="61" customWidth="1"/>
    <col min="258" max="258" width="8.296875" style="61" customWidth="1"/>
    <col min="259" max="265" width="3.19921875" style="61" customWidth="1"/>
    <col min="266" max="266" width="4.296875" style="61" customWidth="1"/>
    <col min="267" max="275" width="4.69921875" style="61" customWidth="1"/>
    <col min="276" max="276" width="3" style="61" customWidth="1"/>
    <col min="277" max="277" width="13.69921875" style="61" customWidth="1"/>
    <col min="278" max="278" width="26.69921875" style="61" customWidth="1"/>
    <col min="279" max="282" width="13.69921875" style="61" customWidth="1"/>
    <col min="283" max="288" width="7.69921875" style="61"/>
    <col min="289" max="292" width="0" style="61" hidden="1" customWidth="1"/>
    <col min="293" max="512" width="7.69921875" style="61"/>
    <col min="513" max="513" width="1.796875" style="61" customWidth="1"/>
    <col min="514" max="514" width="8.296875" style="61" customWidth="1"/>
    <col min="515" max="521" width="3.19921875" style="61" customWidth="1"/>
    <col min="522" max="522" width="4.296875" style="61" customWidth="1"/>
    <col min="523" max="531" width="4.69921875" style="61" customWidth="1"/>
    <col min="532" max="532" width="3" style="61" customWidth="1"/>
    <col min="533" max="533" width="13.69921875" style="61" customWidth="1"/>
    <col min="534" max="534" width="26.69921875" style="61" customWidth="1"/>
    <col min="535" max="538" width="13.69921875" style="61" customWidth="1"/>
    <col min="539" max="544" width="7.69921875" style="61"/>
    <col min="545" max="548" width="0" style="61" hidden="1" customWidth="1"/>
    <col min="549" max="768" width="7.69921875" style="61"/>
    <col min="769" max="769" width="1.796875" style="61" customWidth="1"/>
    <col min="770" max="770" width="8.296875" style="61" customWidth="1"/>
    <col min="771" max="777" width="3.19921875" style="61" customWidth="1"/>
    <col min="778" max="778" width="4.296875" style="61" customWidth="1"/>
    <col min="779" max="787" width="4.69921875" style="61" customWidth="1"/>
    <col min="788" max="788" width="3" style="61" customWidth="1"/>
    <col min="789" max="789" width="13.69921875" style="61" customWidth="1"/>
    <col min="790" max="790" width="26.69921875" style="61" customWidth="1"/>
    <col min="791" max="794" width="13.69921875" style="61" customWidth="1"/>
    <col min="795" max="800" width="7.69921875" style="61"/>
    <col min="801" max="804" width="0" style="61" hidden="1" customWidth="1"/>
    <col min="805" max="1024" width="7.69921875" style="61"/>
    <col min="1025" max="1025" width="1.796875" style="61" customWidth="1"/>
    <col min="1026" max="1026" width="8.296875" style="61" customWidth="1"/>
    <col min="1027" max="1033" width="3.19921875" style="61" customWidth="1"/>
    <col min="1034" max="1034" width="4.296875" style="61" customWidth="1"/>
    <col min="1035" max="1043" width="4.69921875" style="61" customWidth="1"/>
    <col min="1044" max="1044" width="3" style="61" customWidth="1"/>
    <col min="1045" max="1045" width="13.69921875" style="61" customWidth="1"/>
    <col min="1046" max="1046" width="26.69921875" style="61" customWidth="1"/>
    <col min="1047" max="1050" width="13.69921875" style="61" customWidth="1"/>
    <col min="1051" max="1056" width="7.69921875" style="61"/>
    <col min="1057" max="1060" width="0" style="61" hidden="1" customWidth="1"/>
    <col min="1061" max="1280" width="7.69921875" style="61"/>
    <col min="1281" max="1281" width="1.796875" style="61" customWidth="1"/>
    <col min="1282" max="1282" width="8.296875" style="61" customWidth="1"/>
    <col min="1283" max="1289" width="3.19921875" style="61" customWidth="1"/>
    <col min="1290" max="1290" width="4.296875" style="61" customWidth="1"/>
    <col min="1291" max="1299" width="4.69921875" style="61" customWidth="1"/>
    <col min="1300" max="1300" width="3" style="61" customWidth="1"/>
    <col min="1301" max="1301" width="13.69921875" style="61" customWidth="1"/>
    <col min="1302" max="1302" width="26.69921875" style="61" customWidth="1"/>
    <col min="1303" max="1306" width="13.69921875" style="61" customWidth="1"/>
    <col min="1307" max="1312" width="7.69921875" style="61"/>
    <col min="1313" max="1316" width="0" style="61" hidden="1" customWidth="1"/>
    <col min="1317" max="1536" width="7.69921875" style="61"/>
    <col min="1537" max="1537" width="1.796875" style="61" customWidth="1"/>
    <col min="1538" max="1538" width="8.296875" style="61" customWidth="1"/>
    <col min="1539" max="1545" width="3.19921875" style="61" customWidth="1"/>
    <col min="1546" max="1546" width="4.296875" style="61" customWidth="1"/>
    <col min="1547" max="1555" width="4.69921875" style="61" customWidth="1"/>
    <col min="1556" max="1556" width="3" style="61" customWidth="1"/>
    <col min="1557" max="1557" width="13.69921875" style="61" customWidth="1"/>
    <col min="1558" max="1558" width="26.69921875" style="61" customWidth="1"/>
    <col min="1559" max="1562" width="13.69921875" style="61" customWidth="1"/>
    <col min="1563" max="1568" width="7.69921875" style="61"/>
    <col min="1569" max="1572" width="0" style="61" hidden="1" customWidth="1"/>
    <col min="1573" max="1792" width="7.69921875" style="61"/>
    <col min="1793" max="1793" width="1.796875" style="61" customWidth="1"/>
    <col min="1794" max="1794" width="8.296875" style="61" customWidth="1"/>
    <col min="1795" max="1801" width="3.19921875" style="61" customWidth="1"/>
    <col min="1802" max="1802" width="4.296875" style="61" customWidth="1"/>
    <col min="1803" max="1811" width="4.69921875" style="61" customWidth="1"/>
    <col min="1812" max="1812" width="3" style="61" customWidth="1"/>
    <col min="1813" max="1813" width="13.69921875" style="61" customWidth="1"/>
    <col min="1814" max="1814" width="26.69921875" style="61" customWidth="1"/>
    <col min="1815" max="1818" width="13.69921875" style="61" customWidth="1"/>
    <col min="1819" max="1824" width="7.69921875" style="61"/>
    <col min="1825" max="1828" width="0" style="61" hidden="1" customWidth="1"/>
    <col min="1829" max="2048" width="7.69921875" style="61"/>
    <col min="2049" max="2049" width="1.796875" style="61" customWidth="1"/>
    <col min="2050" max="2050" width="8.296875" style="61" customWidth="1"/>
    <col min="2051" max="2057" width="3.19921875" style="61" customWidth="1"/>
    <col min="2058" max="2058" width="4.296875" style="61" customWidth="1"/>
    <col min="2059" max="2067" width="4.69921875" style="61" customWidth="1"/>
    <col min="2068" max="2068" width="3" style="61" customWidth="1"/>
    <col min="2069" max="2069" width="13.69921875" style="61" customWidth="1"/>
    <col min="2070" max="2070" width="26.69921875" style="61" customWidth="1"/>
    <col min="2071" max="2074" width="13.69921875" style="61" customWidth="1"/>
    <col min="2075" max="2080" width="7.69921875" style="61"/>
    <col min="2081" max="2084" width="0" style="61" hidden="1" customWidth="1"/>
    <col min="2085" max="2304" width="7.69921875" style="61"/>
    <col min="2305" max="2305" width="1.796875" style="61" customWidth="1"/>
    <col min="2306" max="2306" width="8.296875" style="61" customWidth="1"/>
    <col min="2307" max="2313" width="3.19921875" style="61" customWidth="1"/>
    <col min="2314" max="2314" width="4.296875" style="61" customWidth="1"/>
    <col min="2315" max="2323" width="4.69921875" style="61" customWidth="1"/>
    <col min="2324" max="2324" width="3" style="61" customWidth="1"/>
    <col min="2325" max="2325" width="13.69921875" style="61" customWidth="1"/>
    <col min="2326" max="2326" width="26.69921875" style="61" customWidth="1"/>
    <col min="2327" max="2330" width="13.69921875" style="61" customWidth="1"/>
    <col min="2331" max="2336" width="7.69921875" style="61"/>
    <col min="2337" max="2340" width="0" style="61" hidden="1" customWidth="1"/>
    <col min="2341" max="2560" width="7.69921875" style="61"/>
    <col min="2561" max="2561" width="1.796875" style="61" customWidth="1"/>
    <col min="2562" max="2562" width="8.296875" style="61" customWidth="1"/>
    <col min="2563" max="2569" width="3.19921875" style="61" customWidth="1"/>
    <col min="2570" max="2570" width="4.296875" style="61" customWidth="1"/>
    <col min="2571" max="2579" width="4.69921875" style="61" customWidth="1"/>
    <col min="2580" max="2580" width="3" style="61" customWidth="1"/>
    <col min="2581" max="2581" width="13.69921875" style="61" customWidth="1"/>
    <col min="2582" max="2582" width="26.69921875" style="61" customWidth="1"/>
    <col min="2583" max="2586" width="13.69921875" style="61" customWidth="1"/>
    <col min="2587" max="2592" width="7.69921875" style="61"/>
    <col min="2593" max="2596" width="0" style="61" hidden="1" customWidth="1"/>
    <col min="2597" max="2816" width="7.69921875" style="61"/>
    <col min="2817" max="2817" width="1.796875" style="61" customWidth="1"/>
    <col min="2818" max="2818" width="8.296875" style="61" customWidth="1"/>
    <col min="2819" max="2825" width="3.19921875" style="61" customWidth="1"/>
    <col min="2826" max="2826" width="4.296875" style="61" customWidth="1"/>
    <col min="2827" max="2835" width="4.69921875" style="61" customWidth="1"/>
    <col min="2836" max="2836" width="3" style="61" customWidth="1"/>
    <col min="2837" max="2837" width="13.69921875" style="61" customWidth="1"/>
    <col min="2838" max="2838" width="26.69921875" style="61" customWidth="1"/>
    <col min="2839" max="2842" width="13.69921875" style="61" customWidth="1"/>
    <col min="2843" max="2848" width="7.69921875" style="61"/>
    <col min="2849" max="2852" width="0" style="61" hidden="1" customWidth="1"/>
    <col min="2853" max="3072" width="7.69921875" style="61"/>
    <col min="3073" max="3073" width="1.796875" style="61" customWidth="1"/>
    <col min="3074" max="3074" width="8.296875" style="61" customWidth="1"/>
    <col min="3075" max="3081" width="3.19921875" style="61" customWidth="1"/>
    <col min="3082" max="3082" width="4.296875" style="61" customWidth="1"/>
    <col min="3083" max="3091" width="4.69921875" style="61" customWidth="1"/>
    <col min="3092" max="3092" width="3" style="61" customWidth="1"/>
    <col min="3093" max="3093" width="13.69921875" style="61" customWidth="1"/>
    <col min="3094" max="3094" width="26.69921875" style="61" customWidth="1"/>
    <col min="3095" max="3098" width="13.69921875" style="61" customWidth="1"/>
    <col min="3099" max="3104" width="7.69921875" style="61"/>
    <col min="3105" max="3108" width="0" style="61" hidden="1" customWidth="1"/>
    <col min="3109" max="3328" width="7.69921875" style="61"/>
    <col min="3329" max="3329" width="1.796875" style="61" customWidth="1"/>
    <col min="3330" max="3330" width="8.296875" style="61" customWidth="1"/>
    <col min="3331" max="3337" width="3.19921875" style="61" customWidth="1"/>
    <col min="3338" max="3338" width="4.296875" style="61" customWidth="1"/>
    <col min="3339" max="3347" width="4.69921875" style="61" customWidth="1"/>
    <col min="3348" max="3348" width="3" style="61" customWidth="1"/>
    <col min="3349" max="3349" width="13.69921875" style="61" customWidth="1"/>
    <col min="3350" max="3350" width="26.69921875" style="61" customWidth="1"/>
    <col min="3351" max="3354" width="13.69921875" style="61" customWidth="1"/>
    <col min="3355" max="3360" width="7.69921875" style="61"/>
    <col min="3361" max="3364" width="0" style="61" hidden="1" customWidth="1"/>
    <col min="3365" max="3584" width="7.69921875" style="61"/>
    <col min="3585" max="3585" width="1.796875" style="61" customWidth="1"/>
    <col min="3586" max="3586" width="8.296875" style="61" customWidth="1"/>
    <col min="3587" max="3593" width="3.19921875" style="61" customWidth="1"/>
    <col min="3594" max="3594" width="4.296875" style="61" customWidth="1"/>
    <col min="3595" max="3603" width="4.69921875" style="61" customWidth="1"/>
    <col min="3604" max="3604" width="3" style="61" customWidth="1"/>
    <col min="3605" max="3605" width="13.69921875" style="61" customWidth="1"/>
    <col min="3606" max="3606" width="26.69921875" style="61" customWidth="1"/>
    <col min="3607" max="3610" width="13.69921875" style="61" customWidth="1"/>
    <col min="3611" max="3616" width="7.69921875" style="61"/>
    <col min="3617" max="3620" width="0" style="61" hidden="1" customWidth="1"/>
    <col min="3621" max="3840" width="7.69921875" style="61"/>
    <col min="3841" max="3841" width="1.796875" style="61" customWidth="1"/>
    <col min="3842" max="3842" width="8.296875" style="61" customWidth="1"/>
    <col min="3843" max="3849" width="3.19921875" style="61" customWidth="1"/>
    <col min="3850" max="3850" width="4.296875" style="61" customWidth="1"/>
    <col min="3851" max="3859" width="4.69921875" style="61" customWidth="1"/>
    <col min="3860" max="3860" width="3" style="61" customWidth="1"/>
    <col min="3861" max="3861" width="13.69921875" style="61" customWidth="1"/>
    <col min="3862" max="3862" width="26.69921875" style="61" customWidth="1"/>
    <col min="3863" max="3866" width="13.69921875" style="61" customWidth="1"/>
    <col min="3867" max="3872" width="7.69921875" style="61"/>
    <col min="3873" max="3876" width="0" style="61" hidden="1" customWidth="1"/>
    <col min="3877" max="4096" width="7.69921875" style="61"/>
    <col min="4097" max="4097" width="1.796875" style="61" customWidth="1"/>
    <col min="4098" max="4098" width="8.296875" style="61" customWidth="1"/>
    <col min="4099" max="4105" width="3.19921875" style="61" customWidth="1"/>
    <col min="4106" max="4106" width="4.296875" style="61" customWidth="1"/>
    <col min="4107" max="4115" width="4.69921875" style="61" customWidth="1"/>
    <col min="4116" max="4116" width="3" style="61" customWidth="1"/>
    <col min="4117" max="4117" width="13.69921875" style="61" customWidth="1"/>
    <col min="4118" max="4118" width="26.69921875" style="61" customWidth="1"/>
    <col min="4119" max="4122" width="13.69921875" style="61" customWidth="1"/>
    <col min="4123" max="4128" width="7.69921875" style="61"/>
    <col min="4129" max="4132" width="0" style="61" hidden="1" customWidth="1"/>
    <col min="4133" max="4352" width="7.69921875" style="61"/>
    <col min="4353" max="4353" width="1.796875" style="61" customWidth="1"/>
    <col min="4354" max="4354" width="8.296875" style="61" customWidth="1"/>
    <col min="4355" max="4361" width="3.19921875" style="61" customWidth="1"/>
    <col min="4362" max="4362" width="4.296875" style="61" customWidth="1"/>
    <col min="4363" max="4371" width="4.69921875" style="61" customWidth="1"/>
    <col min="4372" max="4372" width="3" style="61" customWidth="1"/>
    <col min="4373" max="4373" width="13.69921875" style="61" customWidth="1"/>
    <col min="4374" max="4374" width="26.69921875" style="61" customWidth="1"/>
    <col min="4375" max="4378" width="13.69921875" style="61" customWidth="1"/>
    <col min="4379" max="4384" width="7.69921875" style="61"/>
    <col min="4385" max="4388" width="0" style="61" hidden="1" customWidth="1"/>
    <col min="4389" max="4608" width="7.69921875" style="61"/>
    <col min="4609" max="4609" width="1.796875" style="61" customWidth="1"/>
    <col min="4610" max="4610" width="8.296875" style="61" customWidth="1"/>
    <col min="4611" max="4617" width="3.19921875" style="61" customWidth="1"/>
    <col min="4618" max="4618" width="4.296875" style="61" customWidth="1"/>
    <col min="4619" max="4627" width="4.69921875" style="61" customWidth="1"/>
    <col min="4628" max="4628" width="3" style="61" customWidth="1"/>
    <col min="4629" max="4629" width="13.69921875" style="61" customWidth="1"/>
    <col min="4630" max="4630" width="26.69921875" style="61" customWidth="1"/>
    <col min="4631" max="4634" width="13.69921875" style="61" customWidth="1"/>
    <col min="4635" max="4640" width="7.69921875" style="61"/>
    <col min="4641" max="4644" width="0" style="61" hidden="1" customWidth="1"/>
    <col min="4645" max="4864" width="7.69921875" style="61"/>
    <col min="4865" max="4865" width="1.796875" style="61" customWidth="1"/>
    <col min="4866" max="4866" width="8.296875" style="61" customWidth="1"/>
    <col min="4867" max="4873" width="3.19921875" style="61" customWidth="1"/>
    <col min="4874" max="4874" width="4.296875" style="61" customWidth="1"/>
    <col min="4875" max="4883" width="4.69921875" style="61" customWidth="1"/>
    <col min="4884" max="4884" width="3" style="61" customWidth="1"/>
    <col min="4885" max="4885" width="13.69921875" style="61" customWidth="1"/>
    <col min="4886" max="4886" width="26.69921875" style="61" customWidth="1"/>
    <col min="4887" max="4890" width="13.69921875" style="61" customWidth="1"/>
    <col min="4891" max="4896" width="7.69921875" style="61"/>
    <col min="4897" max="4900" width="0" style="61" hidden="1" customWidth="1"/>
    <col min="4901" max="5120" width="7.69921875" style="61"/>
    <col min="5121" max="5121" width="1.796875" style="61" customWidth="1"/>
    <col min="5122" max="5122" width="8.296875" style="61" customWidth="1"/>
    <col min="5123" max="5129" width="3.19921875" style="61" customWidth="1"/>
    <col min="5130" max="5130" width="4.296875" style="61" customWidth="1"/>
    <col min="5131" max="5139" width="4.69921875" style="61" customWidth="1"/>
    <col min="5140" max="5140" width="3" style="61" customWidth="1"/>
    <col min="5141" max="5141" width="13.69921875" style="61" customWidth="1"/>
    <col min="5142" max="5142" width="26.69921875" style="61" customWidth="1"/>
    <col min="5143" max="5146" width="13.69921875" style="61" customWidth="1"/>
    <col min="5147" max="5152" width="7.69921875" style="61"/>
    <col min="5153" max="5156" width="0" style="61" hidden="1" customWidth="1"/>
    <col min="5157" max="5376" width="7.69921875" style="61"/>
    <col min="5377" max="5377" width="1.796875" style="61" customWidth="1"/>
    <col min="5378" max="5378" width="8.296875" style="61" customWidth="1"/>
    <col min="5379" max="5385" width="3.19921875" style="61" customWidth="1"/>
    <col min="5386" max="5386" width="4.296875" style="61" customWidth="1"/>
    <col min="5387" max="5395" width="4.69921875" style="61" customWidth="1"/>
    <col min="5396" max="5396" width="3" style="61" customWidth="1"/>
    <col min="5397" max="5397" width="13.69921875" style="61" customWidth="1"/>
    <col min="5398" max="5398" width="26.69921875" style="61" customWidth="1"/>
    <col min="5399" max="5402" width="13.69921875" style="61" customWidth="1"/>
    <col min="5403" max="5408" width="7.69921875" style="61"/>
    <col min="5409" max="5412" width="0" style="61" hidden="1" customWidth="1"/>
    <col min="5413" max="5632" width="7.69921875" style="61"/>
    <col min="5633" max="5633" width="1.796875" style="61" customWidth="1"/>
    <col min="5634" max="5634" width="8.296875" style="61" customWidth="1"/>
    <col min="5635" max="5641" width="3.19921875" style="61" customWidth="1"/>
    <col min="5642" max="5642" width="4.296875" style="61" customWidth="1"/>
    <col min="5643" max="5651" width="4.69921875" style="61" customWidth="1"/>
    <col min="5652" max="5652" width="3" style="61" customWidth="1"/>
    <col min="5653" max="5653" width="13.69921875" style="61" customWidth="1"/>
    <col min="5654" max="5654" width="26.69921875" style="61" customWidth="1"/>
    <col min="5655" max="5658" width="13.69921875" style="61" customWidth="1"/>
    <col min="5659" max="5664" width="7.69921875" style="61"/>
    <col min="5665" max="5668" width="0" style="61" hidden="1" customWidth="1"/>
    <col min="5669" max="5888" width="7.69921875" style="61"/>
    <col min="5889" max="5889" width="1.796875" style="61" customWidth="1"/>
    <col min="5890" max="5890" width="8.296875" style="61" customWidth="1"/>
    <col min="5891" max="5897" width="3.19921875" style="61" customWidth="1"/>
    <col min="5898" max="5898" width="4.296875" style="61" customWidth="1"/>
    <col min="5899" max="5907" width="4.69921875" style="61" customWidth="1"/>
    <col min="5908" max="5908" width="3" style="61" customWidth="1"/>
    <col min="5909" max="5909" width="13.69921875" style="61" customWidth="1"/>
    <col min="5910" max="5910" width="26.69921875" style="61" customWidth="1"/>
    <col min="5911" max="5914" width="13.69921875" style="61" customWidth="1"/>
    <col min="5915" max="5920" width="7.69921875" style="61"/>
    <col min="5921" max="5924" width="0" style="61" hidden="1" customWidth="1"/>
    <col min="5925" max="6144" width="7.69921875" style="61"/>
    <col min="6145" max="6145" width="1.796875" style="61" customWidth="1"/>
    <col min="6146" max="6146" width="8.296875" style="61" customWidth="1"/>
    <col min="6147" max="6153" width="3.19921875" style="61" customWidth="1"/>
    <col min="6154" max="6154" width="4.296875" style="61" customWidth="1"/>
    <col min="6155" max="6163" width="4.69921875" style="61" customWidth="1"/>
    <col min="6164" max="6164" width="3" style="61" customWidth="1"/>
    <col min="6165" max="6165" width="13.69921875" style="61" customWidth="1"/>
    <col min="6166" max="6166" width="26.69921875" style="61" customWidth="1"/>
    <col min="6167" max="6170" width="13.69921875" style="61" customWidth="1"/>
    <col min="6171" max="6176" width="7.69921875" style="61"/>
    <col min="6177" max="6180" width="0" style="61" hidden="1" customWidth="1"/>
    <col min="6181" max="6400" width="7.69921875" style="61"/>
    <col min="6401" max="6401" width="1.796875" style="61" customWidth="1"/>
    <col min="6402" max="6402" width="8.296875" style="61" customWidth="1"/>
    <col min="6403" max="6409" width="3.19921875" style="61" customWidth="1"/>
    <col min="6410" max="6410" width="4.296875" style="61" customWidth="1"/>
    <col min="6411" max="6419" width="4.69921875" style="61" customWidth="1"/>
    <col min="6420" max="6420" width="3" style="61" customWidth="1"/>
    <col min="6421" max="6421" width="13.69921875" style="61" customWidth="1"/>
    <col min="6422" max="6422" width="26.69921875" style="61" customWidth="1"/>
    <col min="6423" max="6426" width="13.69921875" style="61" customWidth="1"/>
    <col min="6427" max="6432" width="7.69921875" style="61"/>
    <col min="6433" max="6436" width="0" style="61" hidden="1" customWidth="1"/>
    <col min="6437" max="6656" width="7.69921875" style="61"/>
    <col min="6657" max="6657" width="1.796875" style="61" customWidth="1"/>
    <col min="6658" max="6658" width="8.296875" style="61" customWidth="1"/>
    <col min="6659" max="6665" width="3.19921875" style="61" customWidth="1"/>
    <col min="6666" max="6666" width="4.296875" style="61" customWidth="1"/>
    <col min="6667" max="6675" width="4.69921875" style="61" customWidth="1"/>
    <col min="6676" max="6676" width="3" style="61" customWidth="1"/>
    <col min="6677" max="6677" width="13.69921875" style="61" customWidth="1"/>
    <col min="6678" max="6678" width="26.69921875" style="61" customWidth="1"/>
    <col min="6679" max="6682" width="13.69921875" style="61" customWidth="1"/>
    <col min="6683" max="6688" width="7.69921875" style="61"/>
    <col min="6689" max="6692" width="0" style="61" hidden="1" customWidth="1"/>
    <col min="6693" max="6912" width="7.69921875" style="61"/>
    <col min="6913" max="6913" width="1.796875" style="61" customWidth="1"/>
    <col min="6914" max="6914" width="8.296875" style="61" customWidth="1"/>
    <col min="6915" max="6921" width="3.19921875" style="61" customWidth="1"/>
    <col min="6922" max="6922" width="4.296875" style="61" customWidth="1"/>
    <col min="6923" max="6931" width="4.69921875" style="61" customWidth="1"/>
    <col min="6932" max="6932" width="3" style="61" customWidth="1"/>
    <col min="6933" max="6933" width="13.69921875" style="61" customWidth="1"/>
    <col min="6934" max="6934" width="26.69921875" style="61" customWidth="1"/>
    <col min="6935" max="6938" width="13.69921875" style="61" customWidth="1"/>
    <col min="6939" max="6944" width="7.69921875" style="61"/>
    <col min="6945" max="6948" width="0" style="61" hidden="1" customWidth="1"/>
    <col min="6949" max="7168" width="7.69921875" style="61"/>
    <col min="7169" max="7169" width="1.796875" style="61" customWidth="1"/>
    <col min="7170" max="7170" width="8.296875" style="61" customWidth="1"/>
    <col min="7171" max="7177" width="3.19921875" style="61" customWidth="1"/>
    <col min="7178" max="7178" width="4.296875" style="61" customWidth="1"/>
    <col min="7179" max="7187" width="4.69921875" style="61" customWidth="1"/>
    <col min="7188" max="7188" width="3" style="61" customWidth="1"/>
    <col min="7189" max="7189" width="13.69921875" style="61" customWidth="1"/>
    <col min="7190" max="7190" width="26.69921875" style="61" customWidth="1"/>
    <col min="7191" max="7194" width="13.69921875" style="61" customWidth="1"/>
    <col min="7195" max="7200" width="7.69921875" style="61"/>
    <col min="7201" max="7204" width="0" style="61" hidden="1" customWidth="1"/>
    <col min="7205" max="7424" width="7.69921875" style="61"/>
    <col min="7425" max="7425" width="1.796875" style="61" customWidth="1"/>
    <col min="7426" max="7426" width="8.296875" style="61" customWidth="1"/>
    <col min="7427" max="7433" width="3.19921875" style="61" customWidth="1"/>
    <col min="7434" max="7434" width="4.296875" style="61" customWidth="1"/>
    <col min="7435" max="7443" width="4.69921875" style="61" customWidth="1"/>
    <col min="7444" max="7444" width="3" style="61" customWidth="1"/>
    <col min="7445" max="7445" width="13.69921875" style="61" customWidth="1"/>
    <col min="7446" max="7446" width="26.69921875" style="61" customWidth="1"/>
    <col min="7447" max="7450" width="13.69921875" style="61" customWidth="1"/>
    <col min="7451" max="7456" width="7.69921875" style="61"/>
    <col min="7457" max="7460" width="0" style="61" hidden="1" customWidth="1"/>
    <col min="7461" max="7680" width="7.69921875" style="61"/>
    <col min="7681" max="7681" width="1.796875" style="61" customWidth="1"/>
    <col min="7682" max="7682" width="8.296875" style="61" customWidth="1"/>
    <col min="7683" max="7689" width="3.19921875" style="61" customWidth="1"/>
    <col min="7690" max="7690" width="4.296875" style="61" customWidth="1"/>
    <col min="7691" max="7699" width="4.69921875" style="61" customWidth="1"/>
    <col min="7700" max="7700" width="3" style="61" customWidth="1"/>
    <col min="7701" max="7701" width="13.69921875" style="61" customWidth="1"/>
    <col min="7702" max="7702" width="26.69921875" style="61" customWidth="1"/>
    <col min="7703" max="7706" width="13.69921875" style="61" customWidth="1"/>
    <col min="7707" max="7712" width="7.69921875" style="61"/>
    <col min="7713" max="7716" width="0" style="61" hidden="1" customWidth="1"/>
    <col min="7717" max="7936" width="7.69921875" style="61"/>
    <col min="7937" max="7937" width="1.796875" style="61" customWidth="1"/>
    <col min="7938" max="7938" width="8.296875" style="61" customWidth="1"/>
    <col min="7939" max="7945" width="3.19921875" style="61" customWidth="1"/>
    <col min="7946" max="7946" width="4.296875" style="61" customWidth="1"/>
    <col min="7947" max="7955" width="4.69921875" style="61" customWidth="1"/>
    <col min="7956" max="7956" width="3" style="61" customWidth="1"/>
    <col min="7957" max="7957" width="13.69921875" style="61" customWidth="1"/>
    <col min="7958" max="7958" width="26.69921875" style="61" customWidth="1"/>
    <col min="7959" max="7962" width="13.69921875" style="61" customWidth="1"/>
    <col min="7963" max="7968" width="7.69921875" style="61"/>
    <col min="7969" max="7972" width="0" style="61" hidden="1" customWidth="1"/>
    <col min="7973" max="8192" width="7.69921875" style="61"/>
    <col min="8193" max="8193" width="1.796875" style="61" customWidth="1"/>
    <col min="8194" max="8194" width="8.296875" style="61" customWidth="1"/>
    <col min="8195" max="8201" width="3.19921875" style="61" customWidth="1"/>
    <col min="8202" max="8202" width="4.296875" style="61" customWidth="1"/>
    <col min="8203" max="8211" width="4.69921875" style="61" customWidth="1"/>
    <col min="8212" max="8212" width="3" style="61" customWidth="1"/>
    <col min="8213" max="8213" width="13.69921875" style="61" customWidth="1"/>
    <col min="8214" max="8214" width="26.69921875" style="61" customWidth="1"/>
    <col min="8215" max="8218" width="13.69921875" style="61" customWidth="1"/>
    <col min="8219" max="8224" width="7.69921875" style="61"/>
    <col min="8225" max="8228" width="0" style="61" hidden="1" customWidth="1"/>
    <col min="8229" max="8448" width="7.69921875" style="61"/>
    <col min="8449" max="8449" width="1.796875" style="61" customWidth="1"/>
    <col min="8450" max="8450" width="8.296875" style="61" customWidth="1"/>
    <col min="8451" max="8457" width="3.19921875" style="61" customWidth="1"/>
    <col min="8458" max="8458" width="4.296875" style="61" customWidth="1"/>
    <col min="8459" max="8467" width="4.69921875" style="61" customWidth="1"/>
    <col min="8468" max="8468" width="3" style="61" customWidth="1"/>
    <col min="8469" max="8469" width="13.69921875" style="61" customWidth="1"/>
    <col min="8470" max="8470" width="26.69921875" style="61" customWidth="1"/>
    <col min="8471" max="8474" width="13.69921875" style="61" customWidth="1"/>
    <col min="8475" max="8480" width="7.69921875" style="61"/>
    <col min="8481" max="8484" width="0" style="61" hidden="1" customWidth="1"/>
    <col min="8485" max="8704" width="7.69921875" style="61"/>
    <col min="8705" max="8705" width="1.796875" style="61" customWidth="1"/>
    <col min="8706" max="8706" width="8.296875" style="61" customWidth="1"/>
    <col min="8707" max="8713" width="3.19921875" style="61" customWidth="1"/>
    <col min="8714" max="8714" width="4.296875" style="61" customWidth="1"/>
    <col min="8715" max="8723" width="4.69921875" style="61" customWidth="1"/>
    <col min="8724" max="8724" width="3" style="61" customWidth="1"/>
    <col min="8725" max="8725" width="13.69921875" style="61" customWidth="1"/>
    <col min="8726" max="8726" width="26.69921875" style="61" customWidth="1"/>
    <col min="8727" max="8730" width="13.69921875" style="61" customWidth="1"/>
    <col min="8731" max="8736" width="7.69921875" style="61"/>
    <col min="8737" max="8740" width="0" style="61" hidden="1" customWidth="1"/>
    <col min="8741" max="8960" width="7.69921875" style="61"/>
    <col min="8961" max="8961" width="1.796875" style="61" customWidth="1"/>
    <col min="8962" max="8962" width="8.296875" style="61" customWidth="1"/>
    <col min="8963" max="8969" width="3.19921875" style="61" customWidth="1"/>
    <col min="8970" max="8970" width="4.296875" style="61" customWidth="1"/>
    <col min="8971" max="8979" width="4.69921875" style="61" customWidth="1"/>
    <col min="8980" max="8980" width="3" style="61" customWidth="1"/>
    <col min="8981" max="8981" width="13.69921875" style="61" customWidth="1"/>
    <col min="8982" max="8982" width="26.69921875" style="61" customWidth="1"/>
    <col min="8983" max="8986" width="13.69921875" style="61" customWidth="1"/>
    <col min="8987" max="8992" width="7.69921875" style="61"/>
    <col min="8993" max="8996" width="0" style="61" hidden="1" customWidth="1"/>
    <col min="8997" max="9216" width="7.69921875" style="61"/>
    <col min="9217" max="9217" width="1.796875" style="61" customWidth="1"/>
    <col min="9218" max="9218" width="8.296875" style="61" customWidth="1"/>
    <col min="9219" max="9225" width="3.19921875" style="61" customWidth="1"/>
    <col min="9226" max="9226" width="4.296875" style="61" customWidth="1"/>
    <col min="9227" max="9235" width="4.69921875" style="61" customWidth="1"/>
    <col min="9236" max="9236" width="3" style="61" customWidth="1"/>
    <col min="9237" max="9237" width="13.69921875" style="61" customWidth="1"/>
    <col min="9238" max="9238" width="26.69921875" style="61" customWidth="1"/>
    <col min="9239" max="9242" width="13.69921875" style="61" customWidth="1"/>
    <col min="9243" max="9248" width="7.69921875" style="61"/>
    <col min="9249" max="9252" width="0" style="61" hidden="1" customWidth="1"/>
    <col min="9253" max="9472" width="7.69921875" style="61"/>
    <col min="9473" max="9473" width="1.796875" style="61" customWidth="1"/>
    <col min="9474" max="9474" width="8.296875" style="61" customWidth="1"/>
    <col min="9475" max="9481" width="3.19921875" style="61" customWidth="1"/>
    <col min="9482" max="9482" width="4.296875" style="61" customWidth="1"/>
    <col min="9483" max="9491" width="4.69921875" style="61" customWidth="1"/>
    <col min="9492" max="9492" width="3" style="61" customWidth="1"/>
    <col min="9493" max="9493" width="13.69921875" style="61" customWidth="1"/>
    <col min="9494" max="9494" width="26.69921875" style="61" customWidth="1"/>
    <col min="9495" max="9498" width="13.69921875" style="61" customWidth="1"/>
    <col min="9499" max="9504" width="7.69921875" style="61"/>
    <col min="9505" max="9508" width="0" style="61" hidden="1" customWidth="1"/>
    <col min="9509" max="9728" width="7.69921875" style="61"/>
    <col min="9729" max="9729" width="1.796875" style="61" customWidth="1"/>
    <col min="9730" max="9730" width="8.296875" style="61" customWidth="1"/>
    <col min="9731" max="9737" width="3.19921875" style="61" customWidth="1"/>
    <col min="9738" max="9738" width="4.296875" style="61" customWidth="1"/>
    <col min="9739" max="9747" width="4.69921875" style="61" customWidth="1"/>
    <col min="9748" max="9748" width="3" style="61" customWidth="1"/>
    <col min="9749" max="9749" width="13.69921875" style="61" customWidth="1"/>
    <col min="9750" max="9750" width="26.69921875" style="61" customWidth="1"/>
    <col min="9751" max="9754" width="13.69921875" style="61" customWidth="1"/>
    <col min="9755" max="9760" width="7.69921875" style="61"/>
    <col min="9761" max="9764" width="0" style="61" hidden="1" customWidth="1"/>
    <col min="9765" max="9984" width="7.69921875" style="61"/>
    <col min="9985" max="9985" width="1.796875" style="61" customWidth="1"/>
    <col min="9986" max="9986" width="8.296875" style="61" customWidth="1"/>
    <col min="9987" max="9993" width="3.19921875" style="61" customWidth="1"/>
    <col min="9994" max="9994" width="4.296875" style="61" customWidth="1"/>
    <col min="9995" max="10003" width="4.69921875" style="61" customWidth="1"/>
    <col min="10004" max="10004" width="3" style="61" customWidth="1"/>
    <col min="10005" max="10005" width="13.69921875" style="61" customWidth="1"/>
    <col min="10006" max="10006" width="26.69921875" style="61" customWidth="1"/>
    <col min="10007" max="10010" width="13.69921875" style="61" customWidth="1"/>
    <col min="10011" max="10016" width="7.69921875" style="61"/>
    <col min="10017" max="10020" width="0" style="61" hidden="1" customWidth="1"/>
    <col min="10021" max="10240" width="7.69921875" style="61"/>
    <col min="10241" max="10241" width="1.796875" style="61" customWidth="1"/>
    <col min="10242" max="10242" width="8.296875" style="61" customWidth="1"/>
    <col min="10243" max="10249" width="3.19921875" style="61" customWidth="1"/>
    <col min="10250" max="10250" width="4.296875" style="61" customWidth="1"/>
    <col min="10251" max="10259" width="4.69921875" style="61" customWidth="1"/>
    <col min="10260" max="10260" width="3" style="61" customWidth="1"/>
    <col min="10261" max="10261" width="13.69921875" style="61" customWidth="1"/>
    <col min="10262" max="10262" width="26.69921875" style="61" customWidth="1"/>
    <col min="10263" max="10266" width="13.69921875" style="61" customWidth="1"/>
    <col min="10267" max="10272" width="7.69921875" style="61"/>
    <col min="10273" max="10276" width="0" style="61" hidden="1" customWidth="1"/>
    <col min="10277" max="10496" width="7.69921875" style="61"/>
    <col min="10497" max="10497" width="1.796875" style="61" customWidth="1"/>
    <col min="10498" max="10498" width="8.296875" style="61" customWidth="1"/>
    <col min="10499" max="10505" width="3.19921875" style="61" customWidth="1"/>
    <col min="10506" max="10506" width="4.296875" style="61" customWidth="1"/>
    <col min="10507" max="10515" width="4.69921875" style="61" customWidth="1"/>
    <col min="10516" max="10516" width="3" style="61" customWidth="1"/>
    <col min="10517" max="10517" width="13.69921875" style="61" customWidth="1"/>
    <col min="10518" max="10518" width="26.69921875" style="61" customWidth="1"/>
    <col min="10519" max="10522" width="13.69921875" style="61" customWidth="1"/>
    <col min="10523" max="10528" width="7.69921875" style="61"/>
    <col min="10529" max="10532" width="0" style="61" hidden="1" customWidth="1"/>
    <col min="10533" max="10752" width="7.69921875" style="61"/>
    <col min="10753" max="10753" width="1.796875" style="61" customWidth="1"/>
    <col min="10754" max="10754" width="8.296875" style="61" customWidth="1"/>
    <col min="10755" max="10761" width="3.19921875" style="61" customWidth="1"/>
    <col min="10762" max="10762" width="4.296875" style="61" customWidth="1"/>
    <col min="10763" max="10771" width="4.69921875" style="61" customWidth="1"/>
    <col min="10772" max="10772" width="3" style="61" customWidth="1"/>
    <col min="10773" max="10773" width="13.69921875" style="61" customWidth="1"/>
    <col min="10774" max="10774" width="26.69921875" style="61" customWidth="1"/>
    <col min="10775" max="10778" width="13.69921875" style="61" customWidth="1"/>
    <col min="10779" max="10784" width="7.69921875" style="61"/>
    <col min="10785" max="10788" width="0" style="61" hidden="1" customWidth="1"/>
    <col min="10789" max="11008" width="7.69921875" style="61"/>
    <col min="11009" max="11009" width="1.796875" style="61" customWidth="1"/>
    <col min="11010" max="11010" width="8.296875" style="61" customWidth="1"/>
    <col min="11011" max="11017" width="3.19921875" style="61" customWidth="1"/>
    <col min="11018" max="11018" width="4.296875" style="61" customWidth="1"/>
    <col min="11019" max="11027" width="4.69921875" style="61" customWidth="1"/>
    <col min="11028" max="11028" width="3" style="61" customWidth="1"/>
    <col min="11029" max="11029" width="13.69921875" style="61" customWidth="1"/>
    <col min="11030" max="11030" width="26.69921875" style="61" customWidth="1"/>
    <col min="11031" max="11034" width="13.69921875" style="61" customWidth="1"/>
    <col min="11035" max="11040" width="7.69921875" style="61"/>
    <col min="11041" max="11044" width="0" style="61" hidden="1" customWidth="1"/>
    <col min="11045" max="11264" width="7.69921875" style="61"/>
    <col min="11265" max="11265" width="1.796875" style="61" customWidth="1"/>
    <col min="11266" max="11266" width="8.296875" style="61" customWidth="1"/>
    <col min="11267" max="11273" width="3.19921875" style="61" customWidth="1"/>
    <col min="11274" max="11274" width="4.296875" style="61" customWidth="1"/>
    <col min="11275" max="11283" width="4.69921875" style="61" customWidth="1"/>
    <col min="11284" max="11284" width="3" style="61" customWidth="1"/>
    <col min="11285" max="11285" width="13.69921875" style="61" customWidth="1"/>
    <col min="11286" max="11286" width="26.69921875" style="61" customWidth="1"/>
    <col min="11287" max="11290" width="13.69921875" style="61" customWidth="1"/>
    <col min="11291" max="11296" width="7.69921875" style="61"/>
    <col min="11297" max="11300" width="0" style="61" hidden="1" customWidth="1"/>
    <col min="11301" max="11520" width="7.69921875" style="61"/>
    <col min="11521" max="11521" width="1.796875" style="61" customWidth="1"/>
    <col min="11522" max="11522" width="8.296875" style="61" customWidth="1"/>
    <col min="11523" max="11529" width="3.19921875" style="61" customWidth="1"/>
    <col min="11530" max="11530" width="4.296875" style="61" customWidth="1"/>
    <col min="11531" max="11539" width="4.69921875" style="61" customWidth="1"/>
    <col min="11540" max="11540" width="3" style="61" customWidth="1"/>
    <col min="11541" max="11541" width="13.69921875" style="61" customWidth="1"/>
    <col min="11542" max="11542" width="26.69921875" style="61" customWidth="1"/>
    <col min="11543" max="11546" width="13.69921875" style="61" customWidth="1"/>
    <col min="11547" max="11552" width="7.69921875" style="61"/>
    <col min="11553" max="11556" width="0" style="61" hidden="1" customWidth="1"/>
    <col min="11557" max="11776" width="7.69921875" style="61"/>
    <col min="11777" max="11777" width="1.796875" style="61" customWidth="1"/>
    <col min="11778" max="11778" width="8.296875" style="61" customWidth="1"/>
    <col min="11779" max="11785" width="3.19921875" style="61" customWidth="1"/>
    <col min="11786" max="11786" width="4.296875" style="61" customWidth="1"/>
    <col min="11787" max="11795" width="4.69921875" style="61" customWidth="1"/>
    <col min="11796" max="11796" width="3" style="61" customWidth="1"/>
    <col min="11797" max="11797" width="13.69921875" style="61" customWidth="1"/>
    <col min="11798" max="11798" width="26.69921875" style="61" customWidth="1"/>
    <col min="11799" max="11802" width="13.69921875" style="61" customWidth="1"/>
    <col min="11803" max="11808" width="7.69921875" style="61"/>
    <col min="11809" max="11812" width="0" style="61" hidden="1" customWidth="1"/>
    <col min="11813" max="12032" width="7.69921875" style="61"/>
    <col min="12033" max="12033" width="1.796875" style="61" customWidth="1"/>
    <col min="12034" max="12034" width="8.296875" style="61" customWidth="1"/>
    <col min="12035" max="12041" width="3.19921875" style="61" customWidth="1"/>
    <col min="12042" max="12042" width="4.296875" style="61" customWidth="1"/>
    <col min="12043" max="12051" width="4.69921875" style="61" customWidth="1"/>
    <col min="12052" max="12052" width="3" style="61" customWidth="1"/>
    <col min="12053" max="12053" width="13.69921875" style="61" customWidth="1"/>
    <col min="12054" max="12054" width="26.69921875" style="61" customWidth="1"/>
    <col min="12055" max="12058" width="13.69921875" style="61" customWidth="1"/>
    <col min="12059" max="12064" width="7.69921875" style="61"/>
    <col min="12065" max="12068" width="0" style="61" hidden="1" customWidth="1"/>
    <col min="12069" max="12288" width="7.69921875" style="61"/>
    <col min="12289" max="12289" width="1.796875" style="61" customWidth="1"/>
    <col min="12290" max="12290" width="8.296875" style="61" customWidth="1"/>
    <col min="12291" max="12297" width="3.19921875" style="61" customWidth="1"/>
    <col min="12298" max="12298" width="4.296875" style="61" customWidth="1"/>
    <col min="12299" max="12307" width="4.69921875" style="61" customWidth="1"/>
    <col min="12308" max="12308" width="3" style="61" customWidth="1"/>
    <col min="12309" max="12309" width="13.69921875" style="61" customWidth="1"/>
    <col min="12310" max="12310" width="26.69921875" style="61" customWidth="1"/>
    <col min="12311" max="12314" width="13.69921875" style="61" customWidth="1"/>
    <col min="12315" max="12320" width="7.69921875" style="61"/>
    <col min="12321" max="12324" width="0" style="61" hidden="1" customWidth="1"/>
    <col min="12325" max="12544" width="7.69921875" style="61"/>
    <col min="12545" max="12545" width="1.796875" style="61" customWidth="1"/>
    <col min="12546" max="12546" width="8.296875" style="61" customWidth="1"/>
    <col min="12547" max="12553" width="3.19921875" style="61" customWidth="1"/>
    <col min="12554" max="12554" width="4.296875" style="61" customWidth="1"/>
    <col min="12555" max="12563" width="4.69921875" style="61" customWidth="1"/>
    <col min="12564" max="12564" width="3" style="61" customWidth="1"/>
    <col min="12565" max="12565" width="13.69921875" style="61" customWidth="1"/>
    <col min="12566" max="12566" width="26.69921875" style="61" customWidth="1"/>
    <col min="12567" max="12570" width="13.69921875" style="61" customWidth="1"/>
    <col min="12571" max="12576" width="7.69921875" style="61"/>
    <col min="12577" max="12580" width="0" style="61" hidden="1" customWidth="1"/>
    <col min="12581" max="12800" width="7.69921875" style="61"/>
    <col min="12801" max="12801" width="1.796875" style="61" customWidth="1"/>
    <col min="12802" max="12802" width="8.296875" style="61" customWidth="1"/>
    <col min="12803" max="12809" width="3.19921875" style="61" customWidth="1"/>
    <col min="12810" max="12810" width="4.296875" style="61" customWidth="1"/>
    <col min="12811" max="12819" width="4.69921875" style="61" customWidth="1"/>
    <col min="12820" max="12820" width="3" style="61" customWidth="1"/>
    <col min="12821" max="12821" width="13.69921875" style="61" customWidth="1"/>
    <col min="12822" max="12822" width="26.69921875" style="61" customWidth="1"/>
    <col min="12823" max="12826" width="13.69921875" style="61" customWidth="1"/>
    <col min="12827" max="12832" width="7.69921875" style="61"/>
    <col min="12833" max="12836" width="0" style="61" hidden="1" customWidth="1"/>
    <col min="12837" max="13056" width="7.69921875" style="61"/>
    <col min="13057" max="13057" width="1.796875" style="61" customWidth="1"/>
    <col min="13058" max="13058" width="8.296875" style="61" customWidth="1"/>
    <col min="13059" max="13065" width="3.19921875" style="61" customWidth="1"/>
    <col min="13066" max="13066" width="4.296875" style="61" customWidth="1"/>
    <col min="13067" max="13075" width="4.69921875" style="61" customWidth="1"/>
    <col min="13076" max="13076" width="3" style="61" customWidth="1"/>
    <col min="13077" max="13077" width="13.69921875" style="61" customWidth="1"/>
    <col min="13078" max="13078" width="26.69921875" style="61" customWidth="1"/>
    <col min="13079" max="13082" width="13.69921875" style="61" customWidth="1"/>
    <col min="13083" max="13088" width="7.69921875" style="61"/>
    <col min="13089" max="13092" width="0" style="61" hidden="1" customWidth="1"/>
    <col min="13093" max="13312" width="7.69921875" style="61"/>
    <col min="13313" max="13313" width="1.796875" style="61" customWidth="1"/>
    <col min="13314" max="13314" width="8.296875" style="61" customWidth="1"/>
    <col min="13315" max="13321" width="3.19921875" style="61" customWidth="1"/>
    <col min="13322" max="13322" width="4.296875" style="61" customWidth="1"/>
    <col min="13323" max="13331" width="4.69921875" style="61" customWidth="1"/>
    <col min="13332" max="13332" width="3" style="61" customWidth="1"/>
    <col min="13333" max="13333" width="13.69921875" style="61" customWidth="1"/>
    <col min="13334" max="13334" width="26.69921875" style="61" customWidth="1"/>
    <col min="13335" max="13338" width="13.69921875" style="61" customWidth="1"/>
    <col min="13339" max="13344" width="7.69921875" style="61"/>
    <col min="13345" max="13348" width="0" style="61" hidden="1" customWidth="1"/>
    <col min="13349" max="13568" width="7.69921875" style="61"/>
    <col min="13569" max="13569" width="1.796875" style="61" customWidth="1"/>
    <col min="13570" max="13570" width="8.296875" style="61" customWidth="1"/>
    <col min="13571" max="13577" width="3.19921875" style="61" customWidth="1"/>
    <col min="13578" max="13578" width="4.296875" style="61" customWidth="1"/>
    <col min="13579" max="13587" width="4.69921875" style="61" customWidth="1"/>
    <col min="13588" max="13588" width="3" style="61" customWidth="1"/>
    <col min="13589" max="13589" width="13.69921875" style="61" customWidth="1"/>
    <col min="13590" max="13590" width="26.69921875" style="61" customWidth="1"/>
    <col min="13591" max="13594" width="13.69921875" style="61" customWidth="1"/>
    <col min="13595" max="13600" width="7.69921875" style="61"/>
    <col min="13601" max="13604" width="0" style="61" hidden="1" customWidth="1"/>
    <col min="13605" max="13824" width="7.69921875" style="61"/>
    <col min="13825" max="13825" width="1.796875" style="61" customWidth="1"/>
    <col min="13826" max="13826" width="8.296875" style="61" customWidth="1"/>
    <col min="13827" max="13833" width="3.19921875" style="61" customWidth="1"/>
    <col min="13834" max="13834" width="4.296875" style="61" customWidth="1"/>
    <col min="13835" max="13843" width="4.69921875" style="61" customWidth="1"/>
    <col min="13844" max="13844" width="3" style="61" customWidth="1"/>
    <col min="13845" max="13845" width="13.69921875" style="61" customWidth="1"/>
    <col min="13846" max="13846" width="26.69921875" style="61" customWidth="1"/>
    <col min="13847" max="13850" width="13.69921875" style="61" customWidth="1"/>
    <col min="13851" max="13856" width="7.69921875" style="61"/>
    <col min="13857" max="13860" width="0" style="61" hidden="1" customWidth="1"/>
    <col min="13861" max="14080" width="7.69921875" style="61"/>
    <col min="14081" max="14081" width="1.796875" style="61" customWidth="1"/>
    <col min="14082" max="14082" width="8.296875" style="61" customWidth="1"/>
    <col min="14083" max="14089" width="3.19921875" style="61" customWidth="1"/>
    <col min="14090" max="14090" width="4.296875" style="61" customWidth="1"/>
    <col min="14091" max="14099" width="4.69921875" style="61" customWidth="1"/>
    <col min="14100" max="14100" width="3" style="61" customWidth="1"/>
    <col min="14101" max="14101" width="13.69921875" style="61" customWidth="1"/>
    <col min="14102" max="14102" width="26.69921875" style="61" customWidth="1"/>
    <col min="14103" max="14106" width="13.69921875" style="61" customWidth="1"/>
    <col min="14107" max="14112" width="7.69921875" style="61"/>
    <col min="14113" max="14116" width="0" style="61" hidden="1" customWidth="1"/>
    <col min="14117" max="14336" width="7.69921875" style="61"/>
    <col min="14337" max="14337" width="1.796875" style="61" customWidth="1"/>
    <col min="14338" max="14338" width="8.296875" style="61" customWidth="1"/>
    <col min="14339" max="14345" width="3.19921875" style="61" customWidth="1"/>
    <col min="14346" max="14346" width="4.296875" style="61" customWidth="1"/>
    <col min="14347" max="14355" width="4.69921875" style="61" customWidth="1"/>
    <col min="14356" max="14356" width="3" style="61" customWidth="1"/>
    <col min="14357" max="14357" width="13.69921875" style="61" customWidth="1"/>
    <col min="14358" max="14358" width="26.69921875" style="61" customWidth="1"/>
    <col min="14359" max="14362" width="13.69921875" style="61" customWidth="1"/>
    <col min="14363" max="14368" width="7.69921875" style="61"/>
    <col min="14369" max="14372" width="0" style="61" hidden="1" customWidth="1"/>
    <col min="14373" max="14592" width="7.69921875" style="61"/>
    <col min="14593" max="14593" width="1.796875" style="61" customWidth="1"/>
    <col min="14594" max="14594" width="8.296875" style="61" customWidth="1"/>
    <col min="14595" max="14601" width="3.19921875" style="61" customWidth="1"/>
    <col min="14602" max="14602" width="4.296875" style="61" customWidth="1"/>
    <col min="14603" max="14611" width="4.69921875" style="61" customWidth="1"/>
    <col min="14612" max="14612" width="3" style="61" customWidth="1"/>
    <col min="14613" max="14613" width="13.69921875" style="61" customWidth="1"/>
    <col min="14614" max="14614" width="26.69921875" style="61" customWidth="1"/>
    <col min="14615" max="14618" width="13.69921875" style="61" customWidth="1"/>
    <col min="14619" max="14624" width="7.69921875" style="61"/>
    <col min="14625" max="14628" width="0" style="61" hidden="1" customWidth="1"/>
    <col min="14629" max="14848" width="7.69921875" style="61"/>
    <col min="14849" max="14849" width="1.796875" style="61" customWidth="1"/>
    <col min="14850" max="14850" width="8.296875" style="61" customWidth="1"/>
    <col min="14851" max="14857" width="3.19921875" style="61" customWidth="1"/>
    <col min="14858" max="14858" width="4.296875" style="61" customWidth="1"/>
    <col min="14859" max="14867" width="4.69921875" style="61" customWidth="1"/>
    <col min="14868" max="14868" width="3" style="61" customWidth="1"/>
    <col min="14869" max="14869" width="13.69921875" style="61" customWidth="1"/>
    <col min="14870" max="14870" width="26.69921875" style="61" customWidth="1"/>
    <col min="14871" max="14874" width="13.69921875" style="61" customWidth="1"/>
    <col min="14875" max="14880" width="7.69921875" style="61"/>
    <col min="14881" max="14884" width="0" style="61" hidden="1" customWidth="1"/>
    <col min="14885" max="15104" width="7.69921875" style="61"/>
    <col min="15105" max="15105" width="1.796875" style="61" customWidth="1"/>
    <col min="15106" max="15106" width="8.296875" style="61" customWidth="1"/>
    <col min="15107" max="15113" width="3.19921875" style="61" customWidth="1"/>
    <col min="15114" max="15114" width="4.296875" style="61" customWidth="1"/>
    <col min="15115" max="15123" width="4.69921875" style="61" customWidth="1"/>
    <col min="15124" max="15124" width="3" style="61" customWidth="1"/>
    <col min="15125" max="15125" width="13.69921875" style="61" customWidth="1"/>
    <col min="15126" max="15126" width="26.69921875" style="61" customWidth="1"/>
    <col min="15127" max="15130" width="13.69921875" style="61" customWidth="1"/>
    <col min="15131" max="15136" width="7.69921875" style="61"/>
    <col min="15137" max="15140" width="0" style="61" hidden="1" customWidth="1"/>
    <col min="15141" max="15360" width="7.69921875" style="61"/>
    <col min="15361" max="15361" width="1.796875" style="61" customWidth="1"/>
    <col min="15362" max="15362" width="8.296875" style="61" customWidth="1"/>
    <col min="15363" max="15369" width="3.19921875" style="61" customWidth="1"/>
    <col min="15370" max="15370" width="4.296875" style="61" customWidth="1"/>
    <col min="15371" max="15379" width="4.69921875" style="61" customWidth="1"/>
    <col min="15380" max="15380" width="3" style="61" customWidth="1"/>
    <col min="15381" max="15381" width="13.69921875" style="61" customWidth="1"/>
    <col min="15382" max="15382" width="26.69921875" style="61" customWidth="1"/>
    <col min="15383" max="15386" width="13.69921875" style="61" customWidth="1"/>
    <col min="15387" max="15392" width="7.69921875" style="61"/>
    <col min="15393" max="15396" width="0" style="61" hidden="1" customWidth="1"/>
    <col min="15397" max="15616" width="7.69921875" style="61"/>
    <col min="15617" max="15617" width="1.796875" style="61" customWidth="1"/>
    <col min="15618" max="15618" width="8.296875" style="61" customWidth="1"/>
    <col min="15619" max="15625" width="3.19921875" style="61" customWidth="1"/>
    <col min="15626" max="15626" width="4.296875" style="61" customWidth="1"/>
    <col min="15627" max="15635" width="4.69921875" style="61" customWidth="1"/>
    <col min="15636" max="15636" width="3" style="61" customWidth="1"/>
    <col min="15637" max="15637" width="13.69921875" style="61" customWidth="1"/>
    <col min="15638" max="15638" width="26.69921875" style="61" customWidth="1"/>
    <col min="15639" max="15642" width="13.69921875" style="61" customWidth="1"/>
    <col min="15643" max="15648" width="7.69921875" style="61"/>
    <col min="15649" max="15652" width="0" style="61" hidden="1" customWidth="1"/>
    <col min="15653" max="15872" width="7.69921875" style="61"/>
    <col min="15873" max="15873" width="1.796875" style="61" customWidth="1"/>
    <col min="15874" max="15874" width="8.296875" style="61" customWidth="1"/>
    <col min="15875" max="15881" width="3.19921875" style="61" customWidth="1"/>
    <col min="15882" max="15882" width="4.296875" style="61" customWidth="1"/>
    <col min="15883" max="15891" width="4.69921875" style="61" customWidth="1"/>
    <col min="15892" max="15892" width="3" style="61" customWidth="1"/>
    <col min="15893" max="15893" width="13.69921875" style="61" customWidth="1"/>
    <col min="15894" max="15894" width="26.69921875" style="61" customWidth="1"/>
    <col min="15895" max="15898" width="13.69921875" style="61" customWidth="1"/>
    <col min="15899" max="15904" width="7.69921875" style="61"/>
    <col min="15905" max="15908" width="0" style="61" hidden="1" customWidth="1"/>
    <col min="15909" max="16128" width="7.69921875" style="61"/>
    <col min="16129" max="16129" width="1.796875" style="61" customWidth="1"/>
    <col min="16130" max="16130" width="8.296875" style="61" customWidth="1"/>
    <col min="16131" max="16137" width="3.19921875" style="61" customWidth="1"/>
    <col min="16138" max="16138" width="4.296875" style="61" customWidth="1"/>
    <col min="16139" max="16147" width="4.69921875" style="61" customWidth="1"/>
    <col min="16148" max="16148" width="3" style="61" customWidth="1"/>
    <col min="16149" max="16149" width="13.69921875" style="61" customWidth="1"/>
    <col min="16150" max="16150" width="26.69921875" style="61" customWidth="1"/>
    <col min="16151" max="16154" width="13.69921875" style="61" customWidth="1"/>
    <col min="16155" max="16160" width="7.69921875" style="61"/>
    <col min="16161" max="16164" width="0" style="61" hidden="1" customWidth="1"/>
    <col min="16165" max="16384" width="7.69921875" style="61"/>
  </cols>
  <sheetData>
    <row r="1" spans="1:36" s="66" customFormat="1" ht="15" customHeight="1">
      <c r="T1" s="184"/>
      <c r="V1" s="65" t="s">
        <v>392</v>
      </c>
    </row>
    <row r="2" spans="1:36" s="74" customFormat="1" ht="15" customHeight="1">
      <c r="A2" s="75" t="s">
        <v>393</v>
      </c>
      <c r="B2" s="65"/>
      <c r="C2" s="65"/>
      <c r="D2" s="65"/>
      <c r="E2" s="65"/>
      <c r="F2" s="65"/>
      <c r="G2" s="65"/>
      <c r="H2" s="65"/>
      <c r="I2" s="65"/>
      <c r="J2" s="65"/>
      <c r="K2" s="65"/>
      <c r="L2" s="65"/>
      <c r="M2" s="65"/>
      <c r="N2" s="65"/>
      <c r="O2" s="65"/>
      <c r="P2" s="65"/>
      <c r="Q2" s="158" t="str">
        <f>'SP11-1'!$L$2</f>
        <v>Spreadsheet released 14-Apr-2023</v>
      </c>
      <c r="R2" s="65"/>
      <c r="S2" s="65"/>
      <c r="T2" s="65"/>
      <c r="V2" s="159" t="s">
        <v>394</v>
      </c>
      <c r="W2" s="65"/>
      <c r="X2" s="65"/>
      <c r="Y2" s="65"/>
    </row>
    <row r="3" spans="1:36" s="66" customFormat="1" ht="15" customHeight="1">
      <c r="A3" s="73" t="s">
        <v>517</v>
      </c>
      <c r="B3" s="65"/>
      <c r="C3" s="65"/>
      <c r="D3" s="65"/>
      <c r="E3" s="65"/>
      <c r="F3" s="65"/>
      <c r="G3" s="65"/>
      <c r="H3" s="65"/>
      <c r="I3" s="65"/>
      <c r="J3" s="65"/>
      <c r="K3" s="65"/>
      <c r="L3" s="65"/>
      <c r="M3" s="65"/>
      <c r="N3" s="65"/>
      <c r="O3" s="65"/>
      <c r="P3" s="65"/>
      <c r="Q3" s="65"/>
      <c r="R3" s="65"/>
      <c r="S3" s="65"/>
      <c r="T3" s="70"/>
      <c r="U3" s="65"/>
      <c r="V3" s="65"/>
      <c r="W3" s="65"/>
      <c r="X3" s="65"/>
      <c r="Y3" s="65"/>
    </row>
    <row r="4" spans="1:36" s="74" customFormat="1" ht="15" customHeight="1">
      <c r="A4" s="75"/>
      <c r="B4" s="685" t="s">
        <v>518</v>
      </c>
      <c r="C4" s="686"/>
      <c r="D4" s="686"/>
      <c r="E4" s="686"/>
      <c r="F4" s="686"/>
      <c r="G4" s="686"/>
      <c r="H4" s="686"/>
      <c r="I4" s="686"/>
      <c r="J4" s="686"/>
      <c r="K4" s="686"/>
      <c r="L4" s="686"/>
      <c r="M4" s="686"/>
      <c r="N4" s="686"/>
      <c r="O4" s="686"/>
      <c r="P4" s="686"/>
      <c r="Q4" s="686"/>
      <c r="R4" s="686"/>
      <c r="S4" s="686"/>
      <c r="T4" s="686"/>
      <c r="U4" s="65"/>
      <c r="V4" s="65"/>
      <c r="W4" s="65"/>
      <c r="X4" s="65"/>
      <c r="Y4" s="65"/>
    </row>
    <row r="5" spans="1:36" s="66" customFormat="1" ht="11.25" customHeight="1">
      <c r="A5" s="70"/>
      <c r="B5" s="65"/>
      <c r="C5" s="65"/>
      <c r="D5" s="65"/>
      <c r="E5" s="65"/>
      <c r="F5" s="65"/>
      <c r="G5" s="65"/>
      <c r="H5" s="65"/>
      <c r="I5" s="65"/>
      <c r="J5" s="65"/>
      <c r="K5" s="65"/>
      <c r="L5" s="65"/>
      <c r="M5" s="65"/>
      <c r="N5" s="65"/>
      <c r="O5" s="65"/>
      <c r="P5" s="65"/>
      <c r="Q5" s="65"/>
      <c r="R5" s="65"/>
      <c r="S5" s="65"/>
      <c r="T5" s="70"/>
      <c r="U5" s="65"/>
      <c r="V5" s="65"/>
      <c r="W5" s="65"/>
      <c r="AG5" s="65" t="s">
        <v>519</v>
      </c>
      <c r="AH5" s="65"/>
    </row>
    <row r="6" spans="1:36" s="66" customFormat="1" ht="3.75" customHeight="1">
      <c r="A6" s="271"/>
      <c r="B6" s="274"/>
      <c r="C6" s="274"/>
      <c r="D6" s="274"/>
      <c r="E6" s="274"/>
      <c r="F6" s="274"/>
      <c r="G6" s="274"/>
      <c r="H6" s="274"/>
      <c r="I6" s="274"/>
      <c r="J6" s="274"/>
      <c r="K6" s="274"/>
      <c r="L6" s="274"/>
      <c r="M6" s="274"/>
      <c r="N6" s="274"/>
      <c r="O6" s="274"/>
      <c r="P6" s="274"/>
      <c r="Q6" s="274"/>
      <c r="R6" s="274"/>
      <c r="S6" s="274"/>
      <c r="T6" s="271"/>
      <c r="U6" s="65"/>
      <c r="V6" s="65"/>
      <c r="W6" s="65"/>
      <c r="AG6" s="65"/>
      <c r="AH6" s="65"/>
    </row>
    <row r="7" spans="1:36" s="66" customFormat="1" ht="19.5" customHeight="1">
      <c r="A7" s="273">
        <v>1</v>
      </c>
      <c r="B7" s="597" t="s">
        <v>520</v>
      </c>
      <c r="C7" s="597"/>
      <c r="D7" s="597"/>
      <c r="E7" s="597"/>
      <c r="F7" s="597"/>
      <c r="G7" s="597"/>
      <c r="H7" s="597"/>
      <c r="I7" s="597"/>
      <c r="J7" s="597"/>
      <c r="K7" s="597"/>
      <c r="L7" s="597"/>
      <c r="M7" s="597"/>
      <c r="N7" s="597"/>
      <c r="O7" s="274"/>
      <c r="P7" s="274"/>
      <c r="Q7" s="274"/>
      <c r="R7" s="274"/>
      <c r="S7" s="274"/>
      <c r="T7" s="271"/>
      <c r="U7" s="65"/>
      <c r="V7" s="65"/>
      <c r="W7" s="65"/>
      <c r="AG7" s="163">
        <v>0.04</v>
      </c>
      <c r="AH7" s="65"/>
      <c r="AI7" s="191">
        <v>0.08</v>
      </c>
    </row>
    <row r="8" spans="1:36" s="66" customFormat="1" ht="19.5" customHeight="1">
      <c r="A8" s="271"/>
      <c r="B8" s="274"/>
      <c r="C8" s="274"/>
      <c r="D8" s="274"/>
      <c r="E8" s="274"/>
      <c r="F8" s="274"/>
      <c r="G8" s="324"/>
      <c r="H8" s="324"/>
      <c r="I8" s="324"/>
      <c r="J8" s="324" t="s">
        <v>267</v>
      </c>
      <c r="K8" s="683"/>
      <c r="L8" s="683"/>
      <c r="M8" s="683"/>
      <c r="N8" s="274" t="s">
        <v>495</v>
      </c>
      <c r="O8" s="274">
        <f>'Tables NEW TABLES'!K281</f>
        <v>0.96150000000000002</v>
      </c>
      <c r="P8" s="324" t="s">
        <v>521</v>
      </c>
      <c r="Q8" s="574">
        <f>K8*O8</f>
        <v>0</v>
      </c>
      <c r="R8" s="574"/>
      <c r="S8" s="574"/>
      <c r="T8" s="273" t="s">
        <v>497</v>
      </c>
      <c r="U8" s="65"/>
      <c r="V8" s="65"/>
      <c r="W8" s="65"/>
      <c r="AG8" s="65">
        <v>0.96</v>
      </c>
      <c r="AH8" s="65">
        <f>$K8*AG8</f>
        <v>0</v>
      </c>
      <c r="AI8" s="66">
        <v>0.92</v>
      </c>
      <c r="AJ8" s="65">
        <f>$K8*AI8</f>
        <v>0</v>
      </c>
    </row>
    <row r="9" spans="1:36" s="186" customFormat="1" ht="4.5" customHeight="1">
      <c r="A9" s="271"/>
      <c r="B9" s="274"/>
      <c r="C9" s="274"/>
      <c r="D9" s="274"/>
      <c r="E9" s="274"/>
      <c r="F9" s="274"/>
      <c r="G9" s="324"/>
      <c r="H9" s="324"/>
      <c r="I9" s="324"/>
      <c r="J9" s="324"/>
      <c r="K9" s="324"/>
      <c r="L9" s="324"/>
      <c r="M9" s="324"/>
      <c r="N9" s="324"/>
      <c r="O9" s="324"/>
      <c r="P9" s="324"/>
      <c r="Q9" s="324"/>
      <c r="R9" s="324"/>
      <c r="S9" s="324"/>
      <c r="T9" s="271"/>
      <c r="U9" s="185"/>
      <c r="V9" s="185"/>
      <c r="W9" s="185"/>
      <c r="AG9" s="185"/>
      <c r="AH9" s="185"/>
    </row>
    <row r="10" spans="1:36" s="193" customFormat="1" ht="4.5" customHeight="1">
      <c r="A10" s="271"/>
      <c r="B10" s="274"/>
      <c r="C10" s="274"/>
      <c r="D10" s="274"/>
      <c r="E10" s="274"/>
      <c r="F10" s="274"/>
      <c r="G10" s="324"/>
      <c r="H10" s="324"/>
      <c r="I10" s="324"/>
      <c r="J10" s="324"/>
      <c r="K10" s="324"/>
      <c r="L10" s="324"/>
      <c r="M10" s="324"/>
      <c r="N10" s="324"/>
      <c r="O10" s="324"/>
      <c r="P10" s="324"/>
      <c r="Q10" s="324"/>
      <c r="R10" s="324"/>
      <c r="S10" s="324"/>
      <c r="T10" s="271"/>
      <c r="U10" s="192"/>
      <c r="V10" s="192"/>
      <c r="W10" s="192"/>
      <c r="AG10" s="192"/>
      <c r="AH10" s="192"/>
    </row>
    <row r="11" spans="1:36" s="66" customFormat="1" ht="19.5" customHeight="1">
      <c r="A11" s="273">
        <v>2</v>
      </c>
      <c r="B11" s="597" t="s">
        <v>522</v>
      </c>
      <c r="C11" s="597"/>
      <c r="D11" s="597"/>
      <c r="E11" s="597"/>
      <c r="F11" s="597"/>
      <c r="G11" s="597"/>
      <c r="H11" s="274"/>
      <c r="I11" s="274"/>
      <c r="J11" s="274"/>
      <c r="K11" s="274"/>
      <c r="L11" s="274"/>
      <c r="M11" s="274"/>
      <c r="N11" s="274"/>
      <c r="O11" s="274"/>
      <c r="P11" s="324" t="s">
        <v>267</v>
      </c>
      <c r="Q11" s="683"/>
      <c r="R11" s="683"/>
      <c r="S11" s="683"/>
      <c r="T11" s="273" t="s">
        <v>508</v>
      </c>
      <c r="U11" s="65"/>
      <c r="V11" s="65"/>
      <c r="W11" s="65"/>
      <c r="AG11" s="65"/>
      <c r="AH11" s="79">
        <f>$Q11</f>
        <v>0</v>
      </c>
      <c r="AJ11" s="79">
        <f>$Q11</f>
        <v>0</v>
      </c>
    </row>
    <row r="12" spans="1:36" s="193" customFormat="1" ht="9" customHeight="1">
      <c r="A12" s="271"/>
      <c r="B12" s="274"/>
      <c r="C12" s="274"/>
      <c r="D12" s="274"/>
      <c r="E12" s="274"/>
      <c r="F12" s="274"/>
      <c r="G12" s="324"/>
      <c r="H12" s="324"/>
      <c r="I12" s="324"/>
      <c r="J12" s="324"/>
      <c r="K12" s="324"/>
      <c r="L12" s="324"/>
      <c r="M12" s="324"/>
      <c r="N12" s="324"/>
      <c r="O12" s="324"/>
      <c r="P12" s="324"/>
      <c r="Q12" s="324"/>
      <c r="R12" s="324"/>
      <c r="S12" s="324"/>
      <c r="T12" s="271"/>
      <c r="U12" s="192"/>
      <c r="V12" s="192"/>
      <c r="W12" s="192"/>
      <c r="AG12" s="192"/>
      <c r="AH12" s="192"/>
    </row>
    <row r="13" spans="1:36" s="66" customFormat="1" ht="19.5" customHeight="1">
      <c r="A13" s="273">
        <v>3</v>
      </c>
      <c r="B13" s="597" t="s">
        <v>523</v>
      </c>
      <c r="C13" s="597"/>
      <c r="D13" s="597"/>
      <c r="E13" s="597"/>
      <c r="F13" s="597"/>
      <c r="G13" s="597"/>
      <c r="H13" s="597"/>
      <c r="I13" s="597"/>
      <c r="J13" s="597"/>
      <c r="K13" s="597"/>
      <c r="L13" s="274"/>
      <c r="M13" s="274"/>
      <c r="N13" s="274"/>
      <c r="O13" s="274"/>
      <c r="P13" s="274"/>
      <c r="Q13" s="274"/>
      <c r="R13" s="274"/>
      <c r="S13" s="274"/>
      <c r="T13" s="273"/>
      <c r="U13" s="65"/>
      <c r="V13" s="65"/>
      <c r="W13" s="65"/>
      <c r="AG13" s="65"/>
      <c r="AH13" s="65"/>
    </row>
    <row r="14" spans="1:36" s="66" customFormat="1" ht="19.5" customHeight="1">
      <c r="A14" s="271"/>
      <c r="B14" s="274"/>
      <c r="C14" s="274"/>
      <c r="D14" s="274"/>
      <c r="E14" s="274"/>
      <c r="F14" s="324" t="s">
        <v>524</v>
      </c>
      <c r="G14" s="324">
        <f>'SP11-1'!I28</f>
        <v>0</v>
      </c>
      <c r="H14" s="324"/>
      <c r="I14" s="324"/>
      <c r="J14" s="324" t="s">
        <v>525</v>
      </c>
      <c r="K14" s="683"/>
      <c r="L14" s="683"/>
      <c r="M14" s="683"/>
      <c r="N14" s="274" t="s">
        <v>495</v>
      </c>
      <c r="O14" s="337">
        <f>'Tables NEW TABLES'!K280-'Tables NEW TABLES'!K279</f>
        <v>-0.98064352657801512</v>
      </c>
      <c r="P14" s="324" t="s">
        <v>521</v>
      </c>
      <c r="Q14" s="574">
        <f>K14*O14</f>
        <v>0</v>
      </c>
      <c r="R14" s="574"/>
      <c r="S14" s="574"/>
      <c r="T14" s="273" t="s">
        <v>511</v>
      </c>
      <c r="U14" s="65"/>
      <c r="V14" s="620" t="s">
        <v>983</v>
      </c>
      <c r="W14" s="620"/>
      <c r="X14" s="620"/>
      <c r="Y14" s="620"/>
      <c r="Z14" s="620"/>
      <c r="AG14" s="65">
        <v>19.21</v>
      </c>
      <c r="AH14" s="65">
        <f>$K14*AG14</f>
        <v>0</v>
      </c>
      <c r="AI14" s="66">
        <v>11.44</v>
      </c>
      <c r="AJ14" s="65">
        <f>$K14*AI14</f>
        <v>0</v>
      </c>
    </row>
    <row r="15" spans="1:36" s="186" customFormat="1" ht="3.75" customHeight="1">
      <c r="A15" s="271"/>
      <c r="B15" s="274"/>
      <c r="C15" s="274"/>
      <c r="D15" s="274"/>
      <c r="E15" s="274"/>
      <c r="F15" s="274"/>
      <c r="G15" s="324"/>
      <c r="H15" s="324"/>
      <c r="I15" s="324"/>
      <c r="J15" s="324"/>
      <c r="K15" s="324"/>
      <c r="L15" s="324"/>
      <c r="M15" s="324"/>
      <c r="N15" s="324"/>
      <c r="O15" s="324"/>
      <c r="P15" s="324"/>
      <c r="Q15" s="324"/>
      <c r="R15" s="324"/>
      <c r="S15" s="324"/>
      <c r="T15" s="271"/>
      <c r="U15" s="185"/>
      <c r="V15" s="65"/>
      <c r="W15" s="65"/>
      <c r="X15" s="65"/>
      <c r="Y15" s="65"/>
      <c r="Z15" s="66"/>
      <c r="AG15" s="185"/>
      <c r="AH15" s="185"/>
    </row>
    <row r="16" spans="1:36" s="66" customFormat="1" ht="19.5" customHeight="1">
      <c r="A16" s="273">
        <v>4</v>
      </c>
      <c r="B16" s="597" t="s">
        <v>526</v>
      </c>
      <c r="C16" s="597"/>
      <c r="D16" s="597"/>
      <c r="E16" s="597"/>
      <c r="F16" s="597"/>
      <c r="G16" s="597"/>
      <c r="H16" s="597"/>
      <c r="I16" s="274"/>
      <c r="J16" s="274"/>
      <c r="K16" s="274"/>
      <c r="L16" s="274"/>
      <c r="M16" s="274"/>
      <c r="N16" s="274"/>
      <c r="O16" s="274"/>
      <c r="P16" s="274"/>
      <c r="Q16" s="274"/>
      <c r="R16" s="274"/>
      <c r="S16" s="274"/>
      <c r="T16" s="271"/>
      <c r="U16" s="65"/>
      <c r="V16" s="65"/>
      <c r="W16" s="65"/>
      <c r="X16" s="65"/>
      <c r="Y16" s="65"/>
      <c r="AG16" s="65"/>
      <c r="AH16" s="65"/>
    </row>
    <row r="17" spans="1:36" s="66" customFormat="1" ht="19.5" customHeight="1">
      <c r="A17" s="271"/>
      <c r="B17" s="274" t="s">
        <v>499</v>
      </c>
      <c r="C17" s="274"/>
      <c r="D17" s="274"/>
      <c r="E17" s="274"/>
      <c r="F17" s="274"/>
      <c r="G17" s="274"/>
      <c r="H17" s="274"/>
      <c r="I17" s="274"/>
      <c r="J17" s="274"/>
      <c r="K17" s="274"/>
      <c r="L17" s="274"/>
      <c r="M17" s="274"/>
      <c r="N17" s="274"/>
      <c r="O17" s="274"/>
      <c r="P17" s="324" t="s">
        <v>500</v>
      </c>
      <c r="Q17" s="575">
        <f>'SP11-1'!I26</f>
        <v>0</v>
      </c>
      <c r="R17" s="575"/>
      <c r="S17" s="575"/>
      <c r="T17" s="271"/>
      <c r="U17" s="65"/>
      <c r="V17" s="65"/>
      <c r="W17" s="65"/>
      <c r="X17" s="65"/>
      <c r="Y17" s="65"/>
      <c r="AG17" s="65"/>
      <c r="AH17" s="65"/>
    </row>
    <row r="18" spans="1:36" s="66" customFormat="1" ht="19.5" customHeight="1">
      <c r="A18" s="271"/>
      <c r="B18" s="274" t="s">
        <v>501</v>
      </c>
      <c r="C18" s="274"/>
      <c r="D18" s="274"/>
      <c r="E18" s="274"/>
      <c r="F18" s="274"/>
      <c r="G18" s="274"/>
      <c r="H18" s="274"/>
      <c r="I18" s="274"/>
      <c r="J18" s="274"/>
      <c r="K18" s="274"/>
      <c r="L18" s="274"/>
      <c r="M18" s="274"/>
      <c r="N18" s="274"/>
      <c r="O18" s="274"/>
      <c r="P18" s="274"/>
      <c r="Q18" s="274"/>
      <c r="R18" s="274"/>
      <c r="S18" s="274"/>
      <c r="T18" s="271"/>
      <c r="U18" s="65"/>
      <c r="AG18" s="65"/>
      <c r="AH18" s="65"/>
    </row>
    <row r="19" spans="1:36" s="66" customFormat="1" ht="19.5" customHeight="1">
      <c r="A19" s="271"/>
      <c r="B19" s="356" t="s">
        <v>502</v>
      </c>
      <c r="C19" s="684" t="s">
        <v>503</v>
      </c>
      <c r="D19" s="684"/>
      <c r="E19" s="684"/>
      <c r="F19" s="684"/>
      <c r="G19" s="684"/>
      <c r="H19" s="684"/>
      <c r="I19" s="684"/>
      <c r="J19" s="684"/>
      <c r="K19" s="684" t="s">
        <v>504</v>
      </c>
      <c r="L19" s="684"/>
      <c r="M19" s="684"/>
      <c r="N19" s="684" t="s">
        <v>505</v>
      </c>
      <c r="O19" s="684"/>
      <c r="P19" s="684"/>
      <c r="Q19" s="684" t="s">
        <v>281</v>
      </c>
      <c r="R19" s="684"/>
      <c r="S19" s="684"/>
      <c r="T19" s="271"/>
      <c r="U19" s="65"/>
      <c r="AG19" s="65"/>
      <c r="AH19" s="65"/>
    </row>
    <row r="20" spans="1:36" s="66" customFormat="1" ht="19.5" customHeight="1">
      <c r="A20" s="271"/>
      <c r="B20" s="357"/>
      <c r="C20" s="678"/>
      <c r="D20" s="678"/>
      <c r="E20" s="678"/>
      <c r="F20" s="678"/>
      <c r="G20" s="678"/>
      <c r="H20" s="678"/>
      <c r="I20" s="678"/>
      <c r="J20" s="678"/>
      <c r="K20" s="679"/>
      <c r="L20" s="679"/>
      <c r="M20" s="679"/>
      <c r="N20" s="680" t="str">
        <f>'Tables NEW TABLES'!H283</f>
        <v/>
      </c>
      <c r="O20" s="680"/>
      <c r="P20" s="680"/>
      <c r="Q20" s="681" t="str">
        <f>IF(N20="","",K20*N20)</f>
        <v/>
      </c>
      <c r="R20" s="681"/>
      <c r="S20" s="681"/>
      <c r="T20" s="271"/>
      <c r="V20" s="620" t="s">
        <v>984</v>
      </c>
      <c r="W20" s="620"/>
      <c r="X20" s="620"/>
      <c r="Y20" s="620"/>
      <c r="Z20" s="620"/>
      <c r="AG20" s="194">
        <f>'Tables NEW TABLES'!I283</f>
        <v>1</v>
      </c>
      <c r="AH20" s="195" t="str">
        <f>IF($K20="","",$K20*AG20)</f>
        <v/>
      </c>
      <c r="AI20" s="194" t="str">
        <f>'Tables NEW TABLES'!J283</f>
        <v>AGPWF(1)</v>
      </c>
      <c r="AJ20" s="195" t="str">
        <f t="shared" ref="AJ20:AJ28" si="0">IF($K20="","",$K20*AI20)</f>
        <v/>
      </c>
    </row>
    <row r="21" spans="1:36" s="66" customFormat="1" ht="19.5" customHeight="1">
      <c r="A21" s="271"/>
      <c r="B21" s="357"/>
      <c r="C21" s="678"/>
      <c r="D21" s="678"/>
      <c r="E21" s="678"/>
      <c r="F21" s="678"/>
      <c r="G21" s="678"/>
      <c r="H21" s="678"/>
      <c r="I21" s="678"/>
      <c r="J21" s="678"/>
      <c r="K21" s="679"/>
      <c r="L21" s="679"/>
      <c r="M21" s="679"/>
      <c r="N21" s="680" t="str">
        <f>'Tables NEW TABLES'!H284</f>
        <v/>
      </c>
      <c r="O21" s="680"/>
      <c r="P21" s="680"/>
      <c r="Q21" s="681" t="str">
        <f t="shared" ref="Q21:Q28" si="1">IF(N21="","",K21*N21)</f>
        <v/>
      </c>
      <c r="R21" s="681"/>
      <c r="S21" s="681"/>
      <c r="T21" s="271"/>
      <c r="V21" s="620"/>
      <c r="W21" s="620"/>
      <c r="X21" s="620"/>
      <c r="Y21" s="620"/>
      <c r="Z21" s="620"/>
      <c r="AI21" s="194">
        <f>'Tables NEW TABLES'!J284</f>
        <v>0</v>
      </c>
      <c r="AJ21" s="195" t="str">
        <f t="shared" si="0"/>
        <v/>
      </c>
    </row>
    <row r="22" spans="1:36" s="66" customFormat="1" ht="19.5" customHeight="1">
      <c r="A22" s="271"/>
      <c r="B22" s="357"/>
      <c r="C22" s="678"/>
      <c r="D22" s="678"/>
      <c r="E22" s="678"/>
      <c r="F22" s="678"/>
      <c r="G22" s="678"/>
      <c r="H22" s="678"/>
      <c r="I22" s="678"/>
      <c r="J22" s="678"/>
      <c r="K22" s="679"/>
      <c r="L22" s="679"/>
      <c r="M22" s="679"/>
      <c r="N22" s="680" t="str">
        <f>'Tables NEW TABLES'!H285</f>
        <v/>
      </c>
      <c r="O22" s="680"/>
      <c r="P22" s="680"/>
      <c r="Q22" s="681" t="str">
        <f t="shared" si="1"/>
        <v/>
      </c>
      <c r="R22" s="681"/>
      <c r="S22" s="681"/>
      <c r="T22" s="271"/>
      <c r="V22" s="620"/>
      <c r="W22" s="620"/>
      <c r="X22" s="620"/>
      <c r="Y22" s="620"/>
      <c r="Z22" s="620"/>
      <c r="AI22" s="194" t="str">
        <f>'Tables NEW TABLES'!J285</f>
        <v>AGPWF(E)</v>
      </c>
      <c r="AJ22" s="195" t="str">
        <f t="shared" si="0"/>
        <v/>
      </c>
    </row>
    <row r="23" spans="1:36" s="66" customFormat="1" ht="19.5" customHeight="1">
      <c r="A23" s="271"/>
      <c r="B23" s="357"/>
      <c r="C23" s="678"/>
      <c r="D23" s="678"/>
      <c r="E23" s="678"/>
      <c r="F23" s="678"/>
      <c r="G23" s="678"/>
      <c r="H23" s="678"/>
      <c r="I23" s="678"/>
      <c r="J23" s="678"/>
      <c r="K23" s="679"/>
      <c r="L23" s="679"/>
      <c r="M23" s="679"/>
      <c r="N23" s="680" t="str">
        <f>'Tables NEW TABLES'!H286</f>
        <v/>
      </c>
      <c r="O23" s="680"/>
      <c r="P23" s="680"/>
      <c r="Q23" s="681" t="str">
        <f>IF(N23="","",K23*N23)</f>
        <v/>
      </c>
      <c r="R23" s="681"/>
      <c r="S23" s="681"/>
      <c r="T23" s="271"/>
      <c r="V23" s="620"/>
      <c r="W23" s="620"/>
      <c r="X23" s="620"/>
      <c r="Y23" s="620"/>
      <c r="Z23" s="620"/>
      <c r="AI23" s="194" t="str">
        <f>'Tables NEW TABLES'!J286</f>
        <v/>
      </c>
      <c r="AJ23" s="195" t="str">
        <f t="shared" si="0"/>
        <v/>
      </c>
    </row>
    <row r="24" spans="1:36" s="66" customFormat="1" ht="19.5" customHeight="1">
      <c r="A24" s="271"/>
      <c r="B24" s="357"/>
      <c r="C24" s="678"/>
      <c r="D24" s="678"/>
      <c r="E24" s="678"/>
      <c r="F24" s="678"/>
      <c r="G24" s="678"/>
      <c r="H24" s="678"/>
      <c r="I24" s="678"/>
      <c r="J24" s="678"/>
      <c r="K24" s="679"/>
      <c r="L24" s="679"/>
      <c r="M24" s="679"/>
      <c r="N24" s="680" t="str">
        <f>'Tables NEW TABLES'!H287</f>
        <v/>
      </c>
      <c r="O24" s="680"/>
      <c r="P24" s="680"/>
      <c r="Q24" s="681" t="str">
        <f>IF(N24="","",K24*N24)</f>
        <v/>
      </c>
      <c r="R24" s="681"/>
      <c r="S24" s="681"/>
      <c r="T24" s="271"/>
      <c r="V24" s="620"/>
      <c r="W24" s="620"/>
      <c r="X24" s="620"/>
      <c r="Y24" s="620"/>
      <c r="Z24" s="620"/>
      <c r="AI24" s="194" t="str">
        <f>'Tables NEW TABLES'!J287</f>
        <v/>
      </c>
      <c r="AJ24" s="195" t="str">
        <f t="shared" si="0"/>
        <v/>
      </c>
    </row>
    <row r="25" spans="1:36" s="66" customFormat="1" ht="19.5" customHeight="1">
      <c r="A25" s="271"/>
      <c r="B25" s="357"/>
      <c r="C25" s="678"/>
      <c r="D25" s="678"/>
      <c r="E25" s="678"/>
      <c r="F25" s="678"/>
      <c r="G25" s="678"/>
      <c r="H25" s="678"/>
      <c r="I25" s="678"/>
      <c r="J25" s="678"/>
      <c r="K25" s="679"/>
      <c r="L25" s="679"/>
      <c r="M25" s="679"/>
      <c r="N25" s="680" t="str">
        <f>'Tables NEW TABLES'!H288</f>
        <v/>
      </c>
      <c r="O25" s="680"/>
      <c r="P25" s="680"/>
      <c r="Q25" s="681" t="str">
        <f t="shared" si="1"/>
        <v/>
      </c>
      <c r="R25" s="681"/>
      <c r="S25" s="681"/>
      <c r="T25" s="271"/>
      <c r="V25" s="620"/>
      <c r="W25" s="620"/>
      <c r="X25" s="620"/>
      <c r="Y25" s="620"/>
      <c r="Z25" s="620"/>
      <c r="AI25" s="194" t="str">
        <f>'Tables NEW TABLES'!J288</f>
        <v/>
      </c>
      <c r="AJ25" s="195" t="str">
        <f t="shared" si="0"/>
        <v/>
      </c>
    </row>
    <row r="26" spans="1:36" s="66" customFormat="1" ht="19.5" customHeight="1">
      <c r="A26" s="271"/>
      <c r="B26" s="357"/>
      <c r="C26" s="678"/>
      <c r="D26" s="678"/>
      <c r="E26" s="678"/>
      <c r="F26" s="678"/>
      <c r="G26" s="678"/>
      <c r="H26" s="678"/>
      <c r="I26" s="678"/>
      <c r="J26" s="678"/>
      <c r="K26" s="679"/>
      <c r="L26" s="679"/>
      <c r="M26" s="679"/>
      <c r="N26" s="680" t="str">
        <f>'Tables NEW TABLES'!H289</f>
        <v/>
      </c>
      <c r="O26" s="680"/>
      <c r="P26" s="680"/>
      <c r="Q26" s="681" t="str">
        <f t="shared" si="1"/>
        <v/>
      </c>
      <c r="R26" s="681"/>
      <c r="S26" s="681"/>
      <c r="T26" s="271"/>
      <c r="V26" s="620"/>
      <c r="W26" s="620"/>
      <c r="X26" s="620"/>
      <c r="Y26" s="620"/>
      <c r="Z26" s="620"/>
      <c r="AI26" s="194" t="str">
        <f>'Tables NEW TABLES'!J289</f>
        <v/>
      </c>
      <c r="AJ26" s="195" t="str">
        <f t="shared" si="0"/>
        <v/>
      </c>
    </row>
    <row r="27" spans="1:36" s="66" customFormat="1" ht="19.5" customHeight="1">
      <c r="A27" s="271"/>
      <c r="B27" s="357"/>
      <c r="C27" s="678"/>
      <c r="D27" s="678"/>
      <c r="E27" s="678"/>
      <c r="F27" s="678"/>
      <c r="G27" s="678"/>
      <c r="H27" s="678"/>
      <c r="I27" s="678"/>
      <c r="J27" s="678"/>
      <c r="K27" s="679"/>
      <c r="L27" s="679"/>
      <c r="M27" s="679"/>
      <c r="N27" s="680" t="str">
        <f>'Tables NEW TABLES'!H290</f>
        <v/>
      </c>
      <c r="O27" s="680"/>
      <c r="P27" s="680"/>
      <c r="Q27" s="681" t="str">
        <f t="shared" si="1"/>
        <v/>
      </c>
      <c r="R27" s="681"/>
      <c r="S27" s="681"/>
      <c r="T27" s="271"/>
      <c r="V27" s="620"/>
      <c r="W27" s="620"/>
      <c r="X27" s="620"/>
      <c r="Y27" s="620"/>
      <c r="Z27" s="620"/>
      <c r="AI27" s="194" t="str">
        <f>'Tables NEW TABLES'!J290</f>
        <v/>
      </c>
      <c r="AJ27" s="195" t="str">
        <f t="shared" si="0"/>
        <v/>
      </c>
    </row>
    <row r="28" spans="1:36" s="66" customFormat="1" ht="19.5" customHeight="1">
      <c r="A28" s="271"/>
      <c r="B28" s="357"/>
      <c r="C28" s="678"/>
      <c r="D28" s="678"/>
      <c r="E28" s="678"/>
      <c r="F28" s="678"/>
      <c r="G28" s="678"/>
      <c r="H28" s="678"/>
      <c r="I28" s="678"/>
      <c r="J28" s="678"/>
      <c r="K28" s="679"/>
      <c r="L28" s="679"/>
      <c r="M28" s="679"/>
      <c r="N28" s="680" t="str">
        <f>'Tables NEW TABLES'!H291</f>
        <v/>
      </c>
      <c r="O28" s="680"/>
      <c r="P28" s="680"/>
      <c r="Q28" s="681" t="str">
        <f t="shared" si="1"/>
        <v/>
      </c>
      <c r="R28" s="681"/>
      <c r="S28" s="681"/>
      <c r="T28" s="271"/>
      <c r="V28" s="620"/>
      <c r="W28" s="620"/>
      <c r="X28" s="620"/>
      <c r="Y28" s="620"/>
      <c r="Z28" s="620"/>
      <c r="AI28" s="194" t="str">
        <f>'Tables NEW TABLES'!J291</f>
        <v/>
      </c>
      <c r="AJ28" s="195" t="str">
        <f t="shared" si="0"/>
        <v/>
      </c>
    </row>
    <row r="29" spans="1:36" s="66" customFormat="1" ht="19.5" customHeight="1">
      <c r="A29" s="271"/>
      <c r="B29" s="274"/>
      <c r="C29" s="274"/>
      <c r="D29" s="274"/>
      <c r="E29" s="274"/>
      <c r="F29" s="274"/>
      <c r="G29" s="274"/>
      <c r="H29" s="274"/>
      <c r="I29" s="274"/>
      <c r="J29" s="274"/>
      <c r="K29" s="274"/>
      <c r="L29" s="274"/>
      <c r="M29" s="274"/>
      <c r="N29" s="274"/>
      <c r="O29" s="274"/>
      <c r="P29" s="324" t="s">
        <v>527</v>
      </c>
      <c r="Q29" s="682">
        <f>SUM(Q20:S28)</f>
        <v>0</v>
      </c>
      <c r="R29" s="682"/>
      <c r="S29" s="682"/>
      <c r="T29" s="273" t="s">
        <v>528</v>
      </c>
      <c r="U29" s="65"/>
      <c r="AI29" s="196"/>
      <c r="AJ29" s="196">
        <f>SUM(AJ20:AJ28)</f>
        <v>0</v>
      </c>
    </row>
    <row r="30" spans="1:36" s="186" customFormat="1" ht="3.75" customHeight="1">
      <c r="A30" s="271"/>
      <c r="B30" s="274"/>
      <c r="C30" s="274"/>
      <c r="D30" s="274"/>
      <c r="E30" s="274"/>
      <c r="F30" s="274"/>
      <c r="G30" s="274"/>
      <c r="H30" s="274"/>
      <c r="I30" s="274"/>
      <c r="J30" s="274"/>
      <c r="K30" s="274"/>
      <c r="L30" s="274"/>
      <c r="M30" s="274"/>
      <c r="N30" s="274"/>
      <c r="O30" s="274"/>
      <c r="P30" s="274"/>
      <c r="Q30" s="354"/>
      <c r="R30" s="354"/>
      <c r="S30" s="354"/>
      <c r="T30" s="271"/>
      <c r="U30" s="185"/>
      <c r="V30" s="65"/>
      <c r="W30" s="65"/>
      <c r="X30" s="65"/>
      <c r="Y30" s="65"/>
      <c r="Z30" s="66"/>
      <c r="AG30" s="185"/>
      <c r="AH30" s="185"/>
    </row>
    <row r="31" spans="1:36" s="66" customFormat="1" ht="19.5" customHeight="1">
      <c r="A31" s="273">
        <v>5</v>
      </c>
      <c r="B31" s="597" t="s">
        <v>529</v>
      </c>
      <c r="C31" s="597"/>
      <c r="D31" s="597"/>
      <c r="E31" s="597"/>
      <c r="F31" s="597"/>
      <c r="G31" s="597"/>
      <c r="H31" s="597"/>
      <c r="I31" s="597"/>
      <c r="J31" s="597"/>
      <c r="K31" s="355"/>
      <c r="L31" s="274"/>
      <c r="M31" s="274"/>
      <c r="N31" s="274"/>
      <c r="O31" s="274"/>
      <c r="P31" s="274"/>
      <c r="Q31" s="274"/>
      <c r="R31" s="274"/>
      <c r="S31" s="274"/>
      <c r="T31" s="271"/>
      <c r="U31" s="65"/>
      <c r="AG31" s="65"/>
      <c r="AH31" s="65"/>
    </row>
    <row r="32" spans="1:36" s="66" customFormat="1" ht="19.5" customHeight="1">
      <c r="A32" s="271"/>
      <c r="B32" s="274"/>
      <c r="C32" s="274"/>
      <c r="D32" s="274"/>
      <c r="E32" s="274"/>
      <c r="F32" s="274"/>
      <c r="G32" s="324"/>
      <c r="H32" s="324"/>
      <c r="I32" s="324"/>
      <c r="J32" s="324" t="s">
        <v>267</v>
      </c>
      <c r="K32" s="683"/>
      <c r="L32" s="683"/>
      <c r="M32" s="683"/>
      <c r="N32" s="274" t="s">
        <v>495</v>
      </c>
      <c r="O32" s="337">
        <f>'Tables NEW TABLES'!K280-'Tables NEW TABLES'!K279</f>
        <v>-0.98064352657801512</v>
      </c>
      <c r="P32" s="324" t="s">
        <v>521</v>
      </c>
      <c r="Q32" s="574">
        <f>K32*O32</f>
        <v>0</v>
      </c>
      <c r="R32" s="574"/>
      <c r="S32" s="574"/>
      <c r="T32" s="273" t="s">
        <v>530</v>
      </c>
      <c r="U32" s="65"/>
      <c r="V32" s="620" t="s">
        <v>985</v>
      </c>
      <c r="W32" s="620"/>
      <c r="X32" s="620"/>
      <c r="Y32" s="620"/>
      <c r="Z32" s="620"/>
      <c r="AG32" s="65">
        <v>19.21</v>
      </c>
      <c r="AH32" s="65">
        <f>$K32*AG32</f>
        <v>0</v>
      </c>
      <c r="AI32" s="66">
        <v>11.44</v>
      </c>
      <c r="AJ32" s="65">
        <f>$K32*AI32</f>
        <v>0</v>
      </c>
    </row>
    <row r="33" spans="1:36" s="186" customFormat="1" ht="3.75" customHeight="1">
      <c r="A33" s="271"/>
      <c r="B33" s="274"/>
      <c r="C33" s="274"/>
      <c r="D33" s="274"/>
      <c r="E33" s="274"/>
      <c r="F33" s="274"/>
      <c r="G33" s="324"/>
      <c r="H33" s="324"/>
      <c r="I33" s="324"/>
      <c r="J33" s="324"/>
      <c r="K33" s="324"/>
      <c r="L33" s="324"/>
      <c r="M33" s="324"/>
      <c r="N33" s="324"/>
      <c r="O33" s="324"/>
      <c r="P33" s="324"/>
      <c r="Q33" s="324"/>
      <c r="R33" s="324"/>
      <c r="S33" s="324"/>
      <c r="T33" s="271"/>
      <c r="U33" s="185"/>
      <c r="V33" s="185"/>
      <c r="W33" s="185"/>
      <c r="AG33" s="185"/>
      <c r="AH33" s="185"/>
    </row>
    <row r="34" spans="1:36" s="66" customFormat="1" ht="19.5" customHeight="1">
      <c r="A34" s="273">
        <v>6</v>
      </c>
      <c r="B34" s="597" t="s">
        <v>531</v>
      </c>
      <c r="C34" s="597"/>
      <c r="D34" s="597"/>
      <c r="E34" s="597"/>
      <c r="F34" s="597"/>
      <c r="G34" s="274"/>
      <c r="H34" s="274"/>
      <c r="I34" s="274"/>
      <c r="J34" s="274"/>
      <c r="K34" s="274"/>
      <c r="L34" s="274"/>
      <c r="M34" s="274"/>
      <c r="N34" s="274"/>
      <c r="O34" s="274"/>
      <c r="P34" s="274"/>
      <c r="Q34" s="274"/>
      <c r="R34" s="274"/>
      <c r="S34" s="274"/>
      <c r="T34" s="271"/>
      <c r="U34" s="65"/>
      <c r="V34" s="65"/>
      <c r="W34" s="65"/>
      <c r="AG34" s="65"/>
      <c r="AH34" s="65"/>
    </row>
    <row r="35" spans="1:36" s="66" customFormat="1" ht="19.5" customHeight="1">
      <c r="A35" s="271"/>
      <c r="B35" s="274"/>
      <c r="C35" s="274"/>
      <c r="D35" s="274"/>
      <c r="E35" s="274"/>
      <c r="F35" s="274"/>
      <c r="G35" s="274"/>
      <c r="H35" s="274"/>
      <c r="I35" s="274"/>
      <c r="J35" s="274"/>
      <c r="K35" s="355"/>
      <c r="L35" s="274"/>
      <c r="M35" s="274"/>
      <c r="N35" s="274"/>
      <c r="O35" s="274"/>
      <c r="P35" s="324" t="s">
        <v>532</v>
      </c>
      <c r="Q35" s="574">
        <f>Q8+Q11+Q14+Q29+Q32</f>
        <v>0</v>
      </c>
      <c r="R35" s="574"/>
      <c r="S35" s="574"/>
      <c r="T35" s="273"/>
      <c r="U35" s="273" t="s">
        <v>438</v>
      </c>
      <c r="V35" s="620" t="s">
        <v>533</v>
      </c>
      <c r="W35" s="620"/>
      <c r="X35" s="620"/>
      <c r="Y35" s="620"/>
      <c r="Z35" s="620"/>
      <c r="AG35" s="65"/>
      <c r="AH35" s="79" t="e">
        <f>AH8+AH11+AH14+#REF!+AH32</f>
        <v>#REF!</v>
      </c>
      <c r="AI35" s="79"/>
      <c r="AJ35" s="79">
        <f>AJ8+AJ11+AJ14+AJ29+AJ32</f>
        <v>0</v>
      </c>
    </row>
    <row r="36" spans="1:36" s="66" customFormat="1" ht="19.5" customHeight="1">
      <c r="A36" s="271"/>
      <c r="B36" s="274"/>
      <c r="C36" s="274"/>
      <c r="D36" s="274"/>
      <c r="E36" s="274"/>
      <c r="F36" s="274"/>
      <c r="G36" s="274"/>
      <c r="H36" s="274"/>
      <c r="I36" s="274"/>
      <c r="J36" s="274"/>
      <c r="K36" s="274"/>
      <c r="L36" s="274"/>
      <c r="M36" s="274"/>
      <c r="N36" s="274"/>
      <c r="O36" s="274"/>
      <c r="P36" s="274"/>
      <c r="Q36" s="274"/>
      <c r="R36" s="274"/>
      <c r="S36" s="324" t="s">
        <v>534</v>
      </c>
      <c r="T36" s="271"/>
      <c r="U36" s="65"/>
      <c r="V36" s="65"/>
      <c r="W36" s="65"/>
      <c r="X36" s="65"/>
      <c r="Y36" s="65"/>
    </row>
    <row r="37" spans="1:36" s="66" customFormat="1" ht="14.25" customHeight="1">
      <c r="A37" s="65"/>
      <c r="B37" s="65"/>
      <c r="C37" s="65"/>
      <c r="D37" s="65"/>
    </row>
    <row r="38" spans="1:36" s="66" customFormat="1" ht="14.25" customHeight="1">
      <c r="A38" s="65"/>
      <c r="B38" s="65"/>
      <c r="C38" s="65"/>
      <c r="D38" s="65"/>
    </row>
    <row r="39" spans="1:36" s="66" customFormat="1" ht="14.25" customHeight="1">
      <c r="A39" s="65"/>
      <c r="B39" s="65"/>
      <c r="C39" s="65"/>
      <c r="D39" s="65"/>
    </row>
    <row r="40" spans="1:36" s="66" customFormat="1" ht="14.25" hidden="1" customHeight="1">
      <c r="A40" s="65"/>
      <c r="B40" s="65">
        <v>1</v>
      </c>
      <c r="C40" s="65"/>
      <c r="D40" s="65"/>
    </row>
    <row r="41" spans="1:36" s="66" customFormat="1" ht="14.25" hidden="1" customHeight="1">
      <c r="A41" s="65"/>
      <c r="B41" s="65">
        <v>2</v>
      </c>
      <c r="C41" s="65"/>
      <c r="D41" s="65"/>
    </row>
    <row r="42" spans="1:36" s="66" customFormat="1" ht="14.25" hidden="1" customHeight="1">
      <c r="A42" s="65"/>
      <c r="B42" s="65">
        <v>3</v>
      </c>
      <c r="C42" s="65"/>
      <c r="D42" s="65"/>
    </row>
    <row r="43" spans="1:36" s="66" customFormat="1" ht="14.25" hidden="1" customHeight="1">
      <c r="A43" s="65"/>
      <c r="B43" s="65">
        <v>4</v>
      </c>
      <c r="C43" s="65"/>
      <c r="D43" s="65"/>
    </row>
    <row r="44" spans="1:36" s="66" customFormat="1" ht="14.25" hidden="1" customHeight="1">
      <c r="A44" s="65"/>
      <c r="B44" s="65">
        <v>5</v>
      </c>
      <c r="C44" s="65"/>
      <c r="D44" s="65"/>
    </row>
    <row r="45" spans="1:36" s="66" customFormat="1" ht="14.25" hidden="1" customHeight="1">
      <c r="A45" s="65"/>
      <c r="B45" s="65">
        <v>6</v>
      </c>
      <c r="C45" s="65"/>
      <c r="D45" s="65"/>
    </row>
    <row r="46" spans="1:36" s="66" customFormat="1" ht="14.25" hidden="1" customHeight="1">
      <c r="A46" s="65"/>
      <c r="B46" s="65">
        <v>7</v>
      </c>
      <c r="C46" s="65"/>
      <c r="D46" s="65"/>
    </row>
    <row r="47" spans="1:36" s="66" customFormat="1" ht="14.25" hidden="1" customHeight="1">
      <c r="A47" s="65"/>
      <c r="B47" s="65">
        <v>8</v>
      </c>
      <c r="C47" s="65"/>
      <c r="D47" s="65"/>
    </row>
    <row r="48" spans="1:36" s="66" customFormat="1" ht="14.25" hidden="1" customHeight="1">
      <c r="A48" s="65"/>
      <c r="B48" s="65">
        <v>9</v>
      </c>
      <c r="C48" s="65"/>
      <c r="D48" s="65"/>
    </row>
    <row r="49" spans="1:25" s="66" customFormat="1" ht="11.4" hidden="1">
      <c r="A49" s="65"/>
      <c r="B49" s="65">
        <v>10</v>
      </c>
      <c r="C49" s="65"/>
      <c r="D49" s="65"/>
    </row>
    <row r="50" spans="1:25" s="74" customFormat="1" hidden="1">
      <c r="A50" s="65"/>
      <c r="B50" s="65">
        <v>11</v>
      </c>
      <c r="C50" s="65"/>
      <c r="D50" s="65"/>
    </row>
    <row r="51" spans="1:25" s="74" customFormat="1" hidden="1">
      <c r="A51" s="65"/>
      <c r="B51" s="65">
        <v>12</v>
      </c>
      <c r="C51" s="65"/>
      <c r="D51" s="65"/>
    </row>
    <row r="52" spans="1:25" s="74" customFormat="1" hidden="1">
      <c r="A52" s="65"/>
      <c r="B52" s="65">
        <v>13</v>
      </c>
      <c r="C52" s="65"/>
      <c r="D52" s="65"/>
    </row>
    <row r="53" spans="1:25" s="74" customFormat="1" hidden="1">
      <c r="A53" s="65"/>
      <c r="B53" s="65">
        <v>14</v>
      </c>
      <c r="C53" s="65"/>
      <c r="D53" s="65"/>
    </row>
    <row r="54" spans="1:25" s="74" customFormat="1" hidden="1">
      <c r="A54" s="65"/>
      <c r="B54" s="65">
        <v>15</v>
      </c>
      <c r="C54" s="65"/>
      <c r="D54" s="65"/>
    </row>
    <row r="55" spans="1:25" s="74" customFormat="1" hidden="1">
      <c r="A55" s="65"/>
      <c r="B55" s="65">
        <v>16</v>
      </c>
      <c r="C55" s="65"/>
      <c r="D55" s="65"/>
      <c r="E55" s="65"/>
      <c r="F55" s="65"/>
      <c r="G55" s="65"/>
      <c r="H55" s="65"/>
      <c r="I55" s="65"/>
      <c r="J55" s="65"/>
      <c r="K55" s="65"/>
      <c r="L55" s="65"/>
      <c r="M55" s="65"/>
      <c r="N55" s="65"/>
      <c r="O55" s="65"/>
      <c r="P55" s="65"/>
      <c r="Q55" s="65"/>
      <c r="R55" s="65"/>
      <c r="S55" s="65"/>
      <c r="T55" s="70"/>
      <c r="U55" s="65"/>
      <c r="V55" s="65"/>
      <c r="W55" s="65"/>
      <c r="X55" s="65"/>
      <c r="Y55" s="65"/>
    </row>
    <row r="56" spans="1:25" s="74" customFormat="1" hidden="1">
      <c r="A56" s="65"/>
      <c r="B56" s="65">
        <v>17</v>
      </c>
      <c r="C56" s="65"/>
      <c r="D56" s="65"/>
      <c r="E56" s="65"/>
      <c r="F56" s="65"/>
      <c r="G56" s="65"/>
      <c r="H56" s="65"/>
      <c r="I56" s="65"/>
      <c r="J56" s="65"/>
      <c r="K56" s="65"/>
      <c r="L56" s="65"/>
      <c r="M56" s="65"/>
      <c r="N56" s="65"/>
      <c r="O56" s="65"/>
      <c r="P56" s="65"/>
      <c r="Q56" s="65"/>
      <c r="R56" s="65"/>
      <c r="S56" s="65"/>
      <c r="T56" s="70"/>
      <c r="U56" s="65"/>
      <c r="V56" s="65"/>
      <c r="W56" s="65"/>
      <c r="X56" s="65"/>
      <c r="Y56" s="65"/>
    </row>
    <row r="57" spans="1:25" s="74" customFormat="1" hidden="1">
      <c r="A57" s="65"/>
      <c r="B57" s="65">
        <v>18</v>
      </c>
      <c r="C57" s="65"/>
      <c r="D57" s="65"/>
      <c r="E57" s="65"/>
      <c r="F57" s="65"/>
      <c r="G57" s="65"/>
      <c r="H57" s="65"/>
      <c r="I57" s="65"/>
      <c r="J57" s="65"/>
      <c r="K57" s="65"/>
      <c r="L57" s="65"/>
      <c r="M57" s="65"/>
      <c r="N57" s="65"/>
      <c r="O57" s="65"/>
      <c r="P57" s="65"/>
      <c r="Q57" s="65"/>
      <c r="R57" s="65"/>
      <c r="S57" s="65"/>
      <c r="T57" s="70"/>
      <c r="U57" s="65"/>
      <c r="V57" s="65"/>
      <c r="W57" s="65"/>
      <c r="X57" s="65"/>
      <c r="Y57" s="65"/>
    </row>
    <row r="58" spans="1:25" s="74" customFormat="1" hidden="1">
      <c r="A58" s="65"/>
      <c r="B58" s="65">
        <v>19</v>
      </c>
      <c r="C58" s="65"/>
      <c r="D58" s="65"/>
      <c r="E58" s="65"/>
      <c r="F58" s="65"/>
      <c r="G58" s="65"/>
      <c r="H58" s="65"/>
      <c r="I58" s="65"/>
      <c r="J58" s="65"/>
      <c r="K58" s="65"/>
      <c r="L58" s="65"/>
      <c r="M58" s="65"/>
      <c r="N58" s="65"/>
      <c r="O58" s="65"/>
      <c r="P58" s="65"/>
      <c r="Q58" s="65"/>
      <c r="R58" s="65"/>
      <c r="S58" s="65"/>
      <c r="T58" s="70"/>
      <c r="U58" s="65"/>
      <c r="V58" s="65"/>
      <c r="W58" s="65"/>
      <c r="X58" s="65"/>
      <c r="Y58" s="65"/>
    </row>
    <row r="59" spans="1:25" s="74" customFormat="1" hidden="1">
      <c r="A59" s="65"/>
      <c r="B59" s="65">
        <v>20</v>
      </c>
      <c r="C59" s="65"/>
      <c r="D59" s="65"/>
      <c r="E59" s="65"/>
      <c r="F59" s="65"/>
      <c r="G59" s="65"/>
      <c r="H59" s="65"/>
      <c r="I59" s="65"/>
      <c r="J59" s="65"/>
      <c r="K59" s="65"/>
      <c r="L59" s="65"/>
      <c r="M59" s="65"/>
      <c r="N59" s="65"/>
      <c r="O59" s="65"/>
      <c r="P59" s="65"/>
      <c r="Q59" s="65"/>
      <c r="R59" s="65"/>
      <c r="S59" s="65"/>
      <c r="T59" s="70"/>
      <c r="U59" s="65"/>
      <c r="V59" s="65"/>
      <c r="W59" s="65"/>
      <c r="X59" s="65"/>
      <c r="Y59" s="65"/>
    </row>
    <row r="60" spans="1:25" s="74" customFormat="1" hidden="1">
      <c r="A60" s="65"/>
      <c r="B60" s="65">
        <v>21</v>
      </c>
      <c r="C60" s="65"/>
      <c r="D60" s="65"/>
      <c r="E60" s="65"/>
      <c r="F60" s="65"/>
      <c r="G60" s="65"/>
      <c r="H60" s="65"/>
      <c r="I60" s="65"/>
      <c r="J60" s="65"/>
      <c r="K60" s="65"/>
      <c r="L60" s="65"/>
      <c r="M60" s="65"/>
      <c r="N60" s="65"/>
      <c r="O60" s="65"/>
      <c r="P60" s="65"/>
      <c r="Q60" s="65"/>
      <c r="R60" s="65"/>
      <c r="S60" s="65"/>
      <c r="T60" s="70"/>
      <c r="U60" s="65"/>
      <c r="V60" s="65"/>
      <c r="W60" s="65"/>
      <c r="X60" s="65"/>
      <c r="Y60" s="65"/>
    </row>
    <row r="61" spans="1:25" s="74" customFormat="1" hidden="1">
      <c r="A61" s="65"/>
      <c r="B61" s="65">
        <v>22</v>
      </c>
      <c r="C61" s="65"/>
      <c r="D61" s="65"/>
      <c r="E61" s="65"/>
      <c r="F61" s="65"/>
      <c r="G61" s="65"/>
      <c r="H61" s="65"/>
      <c r="I61" s="65"/>
      <c r="J61" s="65"/>
      <c r="K61" s="65"/>
      <c r="L61" s="65"/>
      <c r="M61" s="65"/>
      <c r="N61" s="65"/>
      <c r="O61" s="65"/>
      <c r="P61" s="65"/>
      <c r="Q61" s="65"/>
      <c r="R61" s="65"/>
      <c r="S61" s="65"/>
      <c r="T61" s="70"/>
      <c r="U61" s="65"/>
      <c r="V61" s="65"/>
      <c r="W61" s="65"/>
      <c r="X61" s="65"/>
      <c r="Y61" s="65"/>
    </row>
    <row r="62" spans="1:25" s="74" customFormat="1" hidden="1">
      <c r="A62" s="65"/>
      <c r="B62" s="65">
        <v>23</v>
      </c>
      <c r="C62" s="65"/>
      <c r="D62" s="65"/>
      <c r="E62" s="65"/>
      <c r="F62" s="65"/>
      <c r="G62" s="65"/>
      <c r="H62" s="65"/>
      <c r="I62" s="65"/>
      <c r="J62" s="65"/>
      <c r="K62" s="65"/>
      <c r="L62" s="65"/>
      <c r="M62" s="65"/>
      <c r="N62" s="65"/>
      <c r="O62" s="65"/>
      <c r="P62" s="65"/>
      <c r="Q62" s="65"/>
      <c r="R62" s="65"/>
      <c r="S62" s="65"/>
      <c r="T62" s="70"/>
      <c r="U62" s="65"/>
      <c r="V62" s="65"/>
      <c r="W62" s="65"/>
      <c r="X62" s="65"/>
      <c r="Y62" s="65"/>
    </row>
    <row r="63" spans="1:25" s="74" customFormat="1" hidden="1">
      <c r="A63" s="65"/>
      <c r="B63" s="65">
        <v>24</v>
      </c>
      <c r="C63" s="65"/>
      <c r="D63" s="65"/>
      <c r="E63" s="65"/>
      <c r="F63" s="65"/>
      <c r="G63" s="65"/>
      <c r="H63" s="65"/>
      <c r="I63" s="65"/>
      <c r="J63" s="65"/>
      <c r="K63" s="65"/>
      <c r="L63" s="65"/>
      <c r="M63" s="65"/>
      <c r="N63" s="65"/>
      <c r="O63" s="65"/>
      <c r="P63" s="65"/>
      <c r="Q63" s="65"/>
      <c r="R63" s="65"/>
      <c r="S63" s="65"/>
      <c r="T63" s="70"/>
      <c r="U63" s="65"/>
      <c r="V63" s="65"/>
      <c r="W63" s="65"/>
      <c r="X63" s="65"/>
      <c r="Y63" s="65"/>
    </row>
    <row r="64" spans="1:25" s="74" customFormat="1" hidden="1">
      <c r="A64" s="65"/>
      <c r="B64" s="65">
        <v>25</v>
      </c>
      <c r="C64" s="65"/>
      <c r="D64" s="65"/>
      <c r="E64" s="65"/>
      <c r="F64" s="65"/>
      <c r="G64" s="65"/>
      <c r="H64" s="65"/>
      <c r="I64" s="65"/>
      <c r="J64" s="65"/>
      <c r="K64" s="65"/>
      <c r="L64" s="65"/>
      <c r="M64" s="65"/>
      <c r="N64" s="65"/>
      <c r="O64" s="65"/>
      <c r="P64" s="65"/>
      <c r="Q64" s="65"/>
      <c r="R64" s="65"/>
      <c r="S64" s="65"/>
      <c r="T64" s="70"/>
      <c r="U64" s="65"/>
      <c r="V64" s="65"/>
      <c r="W64" s="65"/>
      <c r="X64" s="65"/>
      <c r="Y64" s="65"/>
    </row>
    <row r="65" spans="1:25" s="74" customFormat="1" hidden="1">
      <c r="A65" s="65"/>
      <c r="B65" s="65">
        <v>26</v>
      </c>
      <c r="C65" s="65"/>
      <c r="D65" s="65"/>
      <c r="E65" s="65"/>
      <c r="F65" s="65"/>
      <c r="G65" s="65"/>
      <c r="H65" s="65"/>
      <c r="I65" s="65"/>
      <c r="J65" s="65"/>
      <c r="K65" s="65"/>
      <c r="L65" s="65"/>
      <c r="M65" s="65"/>
      <c r="N65" s="65"/>
      <c r="O65" s="65"/>
      <c r="P65" s="65"/>
      <c r="Q65" s="65"/>
      <c r="R65" s="65"/>
      <c r="S65" s="65"/>
      <c r="T65" s="70"/>
      <c r="U65" s="65"/>
      <c r="V65" s="65"/>
      <c r="W65" s="65"/>
      <c r="X65" s="65"/>
      <c r="Y65" s="65"/>
    </row>
    <row r="66" spans="1:25" s="74" customFormat="1" hidden="1">
      <c r="A66" s="65"/>
      <c r="B66" s="65">
        <v>27</v>
      </c>
      <c r="C66" s="65"/>
      <c r="D66" s="65"/>
      <c r="E66" s="65"/>
      <c r="F66" s="65"/>
      <c r="G66" s="65"/>
      <c r="H66" s="65"/>
      <c r="I66" s="65"/>
      <c r="J66" s="65"/>
      <c r="K66" s="65"/>
      <c r="L66" s="65"/>
      <c r="M66" s="65"/>
      <c r="N66" s="65"/>
      <c r="O66" s="65"/>
      <c r="P66" s="65"/>
      <c r="Q66" s="65"/>
      <c r="R66" s="65"/>
      <c r="S66" s="65"/>
      <c r="T66" s="70"/>
      <c r="U66" s="65"/>
      <c r="V66" s="65"/>
      <c r="W66" s="65"/>
      <c r="X66" s="65"/>
      <c r="Y66" s="65"/>
    </row>
    <row r="67" spans="1:25" s="74" customFormat="1" hidden="1">
      <c r="A67" s="65"/>
      <c r="B67" s="65">
        <v>28</v>
      </c>
      <c r="C67" s="65"/>
      <c r="D67" s="65"/>
      <c r="E67" s="65"/>
      <c r="F67" s="65"/>
      <c r="G67" s="65"/>
      <c r="H67" s="65"/>
      <c r="I67" s="65"/>
      <c r="J67" s="65"/>
      <c r="K67" s="65"/>
      <c r="L67" s="65"/>
      <c r="M67" s="65"/>
      <c r="N67" s="65"/>
      <c r="O67" s="65"/>
      <c r="P67" s="65"/>
      <c r="Q67" s="65"/>
      <c r="R67" s="65"/>
      <c r="S67" s="65"/>
      <c r="T67" s="70"/>
      <c r="U67" s="65"/>
      <c r="V67" s="65"/>
      <c r="W67" s="65"/>
      <c r="X67" s="65"/>
      <c r="Y67" s="65"/>
    </row>
    <row r="68" spans="1:25" s="74" customFormat="1" hidden="1">
      <c r="A68" s="65"/>
      <c r="B68" s="65">
        <v>29</v>
      </c>
      <c r="C68" s="65"/>
      <c r="D68" s="65"/>
      <c r="E68" s="65"/>
      <c r="F68" s="65"/>
      <c r="G68" s="65"/>
      <c r="H68" s="65"/>
      <c r="I68" s="65"/>
      <c r="J68" s="65"/>
      <c r="K68" s="65"/>
      <c r="L68" s="65"/>
      <c r="M68" s="65"/>
      <c r="N68" s="65"/>
      <c r="O68" s="65"/>
      <c r="P68" s="65"/>
      <c r="Q68" s="65"/>
      <c r="R68" s="65"/>
      <c r="S68" s="65"/>
      <c r="T68" s="70"/>
      <c r="U68" s="65"/>
      <c r="V68" s="65"/>
      <c r="W68" s="65"/>
      <c r="X68" s="65"/>
      <c r="Y68" s="65"/>
    </row>
    <row r="69" spans="1:25" s="74" customFormat="1" hidden="1">
      <c r="A69" s="65"/>
      <c r="B69" s="65">
        <v>30</v>
      </c>
      <c r="C69" s="65"/>
      <c r="D69" s="65"/>
      <c r="E69" s="65"/>
      <c r="F69" s="65"/>
      <c r="G69" s="65"/>
      <c r="H69" s="65"/>
      <c r="I69" s="65"/>
      <c r="J69" s="65"/>
      <c r="K69" s="65"/>
      <c r="L69" s="65"/>
      <c r="M69" s="65"/>
      <c r="N69" s="65"/>
      <c r="O69" s="65"/>
      <c r="P69" s="65"/>
      <c r="Q69" s="65"/>
      <c r="R69" s="65"/>
      <c r="S69" s="65"/>
      <c r="T69" s="70"/>
      <c r="U69" s="65"/>
      <c r="V69" s="65"/>
      <c r="W69" s="65"/>
      <c r="X69" s="65"/>
      <c r="Y69" s="65"/>
    </row>
    <row r="70" spans="1:25" s="74" customFormat="1" hidden="1">
      <c r="A70" s="65"/>
      <c r="B70" s="65">
        <v>31</v>
      </c>
      <c r="C70" s="65"/>
      <c r="D70" s="65"/>
      <c r="E70" s="65"/>
      <c r="F70" s="65"/>
      <c r="G70" s="65"/>
      <c r="H70" s="65"/>
      <c r="I70" s="65"/>
      <c r="J70" s="65"/>
      <c r="K70" s="65"/>
      <c r="L70" s="65"/>
      <c r="M70" s="65"/>
      <c r="N70" s="65"/>
      <c r="O70" s="65"/>
      <c r="P70" s="65"/>
      <c r="Q70" s="65"/>
      <c r="R70" s="65"/>
      <c r="S70" s="65"/>
      <c r="T70" s="70"/>
      <c r="U70" s="65"/>
      <c r="V70" s="65"/>
      <c r="W70" s="65"/>
      <c r="X70" s="65"/>
      <c r="Y70" s="65"/>
    </row>
    <row r="71" spans="1:25" hidden="1">
      <c r="A71" s="65"/>
      <c r="B71" s="65">
        <v>32</v>
      </c>
      <c r="C71" s="63"/>
      <c r="D71" s="63"/>
      <c r="E71" s="63"/>
      <c r="F71" s="63"/>
      <c r="G71" s="63"/>
      <c r="H71" s="63"/>
      <c r="I71" s="63"/>
      <c r="J71" s="63"/>
      <c r="K71" s="63"/>
      <c r="L71" s="63"/>
      <c r="M71" s="63"/>
      <c r="N71" s="63"/>
      <c r="O71" s="63"/>
      <c r="P71" s="63"/>
      <c r="Q71" s="63"/>
      <c r="R71" s="63"/>
      <c r="S71" s="63"/>
      <c r="T71" s="64"/>
      <c r="U71" s="63"/>
      <c r="V71" s="63"/>
      <c r="W71" s="63"/>
      <c r="X71" s="63"/>
      <c r="Y71" s="63"/>
    </row>
    <row r="72" spans="1:25" hidden="1">
      <c r="A72" s="65"/>
      <c r="B72" s="65">
        <v>33</v>
      </c>
      <c r="C72" s="63"/>
      <c r="D72" s="63"/>
      <c r="E72" s="63"/>
      <c r="F72" s="63"/>
      <c r="G72" s="63"/>
      <c r="H72" s="63"/>
      <c r="I72" s="63"/>
      <c r="J72" s="63"/>
      <c r="K72" s="63"/>
      <c r="L72" s="63"/>
      <c r="M72" s="63"/>
      <c r="N72" s="63"/>
      <c r="O72" s="63"/>
      <c r="P72" s="63"/>
      <c r="Q72" s="63"/>
      <c r="R72" s="63"/>
      <c r="S72" s="63"/>
      <c r="T72" s="64"/>
      <c r="U72" s="63"/>
      <c r="V72" s="63"/>
      <c r="W72" s="63"/>
      <c r="X72" s="63"/>
      <c r="Y72" s="63"/>
    </row>
    <row r="73" spans="1:25" hidden="1">
      <c r="A73" s="65"/>
      <c r="B73" s="65">
        <v>34</v>
      </c>
      <c r="C73" s="63"/>
      <c r="D73" s="63"/>
      <c r="E73" s="63"/>
      <c r="F73" s="63"/>
      <c r="G73" s="63"/>
      <c r="H73" s="63"/>
      <c r="I73" s="63"/>
      <c r="J73" s="63"/>
      <c r="K73" s="63"/>
      <c r="L73" s="63"/>
      <c r="M73" s="63"/>
      <c r="N73" s="63"/>
      <c r="O73" s="63"/>
      <c r="P73" s="63"/>
      <c r="Q73" s="63"/>
      <c r="R73" s="63"/>
      <c r="S73" s="63"/>
      <c r="T73" s="64"/>
      <c r="U73" s="63"/>
      <c r="V73" s="63"/>
      <c r="W73" s="63"/>
      <c r="X73" s="63"/>
      <c r="Y73" s="63"/>
    </row>
    <row r="74" spans="1:25" hidden="1">
      <c r="A74" s="65"/>
      <c r="B74" s="65">
        <v>35</v>
      </c>
      <c r="C74" s="63"/>
      <c r="D74" s="63"/>
      <c r="E74" s="63"/>
      <c r="F74" s="63"/>
      <c r="G74" s="63"/>
      <c r="H74" s="63"/>
      <c r="I74" s="63"/>
      <c r="J74" s="63"/>
      <c r="K74" s="63"/>
      <c r="L74" s="63"/>
      <c r="M74" s="63"/>
      <c r="N74" s="63"/>
      <c r="O74" s="63"/>
      <c r="P74" s="63"/>
      <c r="Q74" s="63"/>
      <c r="R74" s="63"/>
      <c r="S74" s="63"/>
      <c r="T74" s="64"/>
      <c r="U74" s="63"/>
      <c r="V74" s="63"/>
      <c r="W74" s="63"/>
      <c r="X74" s="63"/>
      <c r="Y74" s="63"/>
    </row>
    <row r="75" spans="1:25" hidden="1">
      <c r="A75" s="65"/>
      <c r="B75" s="65">
        <v>36</v>
      </c>
      <c r="C75" s="63"/>
      <c r="D75" s="63"/>
      <c r="E75" s="63"/>
      <c r="F75" s="63"/>
      <c r="G75" s="63"/>
      <c r="H75" s="63"/>
      <c r="I75" s="63"/>
      <c r="J75" s="63"/>
      <c r="K75" s="63"/>
      <c r="L75" s="63"/>
      <c r="M75" s="63"/>
      <c r="N75" s="63"/>
      <c r="O75" s="63"/>
      <c r="P75" s="63"/>
      <c r="Q75" s="63"/>
      <c r="R75" s="63"/>
      <c r="S75" s="63"/>
      <c r="T75" s="64"/>
      <c r="U75" s="63"/>
      <c r="V75" s="63"/>
      <c r="W75" s="63"/>
      <c r="X75" s="63"/>
      <c r="Y75" s="63"/>
    </row>
    <row r="76" spans="1:25" hidden="1">
      <c r="A76" s="65"/>
      <c r="B76" s="65">
        <v>37</v>
      </c>
      <c r="C76" s="63"/>
      <c r="D76" s="63"/>
      <c r="E76" s="63"/>
      <c r="F76" s="63"/>
      <c r="G76" s="63"/>
      <c r="H76" s="63"/>
      <c r="I76" s="63"/>
      <c r="J76" s="63"/>
      <c r="K76" s="63"/>
      <c r="L76" s="63"/>
      <c r="M76" s="63"/>
      <c r="N76" s="63"/>
      <c r="O76" s="63"/>
      <c r="P76" s="63"/>
      <c r="Q76" s="63"/>
      <c r="R76" s="63"/>
      <c r="S76" s="63"/>
      <c r="T76" s="64"/>
      <c r="U76" s="63"/>
      <c r="V76" s="63"/>
      <c r="W76" s="63"/>
      <c r="X76" s="63"/>
      <c r="Y76" s="63"/>
    </row>
    <row r="77" spans="1:25" hidden="1">
      <c r="A77" s="65"/>
      <c r="B77" s="65">
        <v>38</v>
      </c>
      <c r="C77" s="63"/>
      <c r="D77" s="63"/>
      <c r="E77" s="63"/>
      <c r="F77" s="63"/>
      <c r="G77" s="63"/>
      <c r="H77" s="63"/>
      <c r="I77" s="63"/>
      <c r="J77" s="63"/>
      <c r="K77" s="63"/>
      <c r="L77" s="63"/>
      <c r="M77" s="63"/>
      <c r="N77" s="63"/>
      <c r="O77" s="63"/>
      <c r="P77" s="63"/>
      <c r="Q77" s="63"/>
      <c r="R77" s="63"/>
      <c r="S77" s="63"/>
      <c r="T77" s="64"/>
      <c r="U77" s="63"/>
      <c r="V77" s="63"/>
      <c r="W77" s="63"/>
      <c r="X77" s="63"/>
      <c r="Y77" s="63"/>
    </row>
    <row r="78" spans="1:25" hidden="1">
      <c r="A78" s="65"/>
      <c r="B78" s="65">
        <v>39</v>
      </c>
      <c r="C78" s="63"/>
      <c r="D78" s="63"/>
      <c r="E78" s="63"/>
      <c r="F78" s="63"/>
      <c r="G78" s="63"/>
      <c r="H78" s="63"/>
      <c r="I78" s="63"/>
      <c r="J78" s="63"/>
      <c r="K78" s="63"/>
      <c r="L78" s="63"/>
      <c r="M78" s="63"/>
      <c r="N78" s="63"/>
      <c r="O78" s="63"/>
      <c r="P78" s="63"/>
      <c r="Q78" s="63"/>
      <c r="R78" s="63"/>
      <c r="S78" s="63"/>
      <c r="T78" s="64"/>
      <c r="U78" s="63"/>
      <c r="V78" s="63"/>
      <c r="W78" s="63"/>
      <c r="X78" s="63"/>
      <c r="Y78" s="63"/>
    </row>
    <row r="79" spans="1:25" hidden="1">
      <c r="A79" s="65"/>
      <c r="B79" s="65">
        <v>40</v>
      </c>
      <c r="C79" s="63"/>
      <c r="D79" s="63"/>
      <c r="E79" s="63"/>
      <c r="F79" s="63"/>
      <c r="G79" s="63"/>
      <c r="H79" s="63"/>
      <c r="I79" s="63"/>
      <c r="J79" s="63"/>
      <c r="K79" s="63"/>
      <c r="L79" s="63"/>
      <c r="M79" s="63"/>
      <c r="N79" s="63"/>
      <c r="O79" s="63"/>
      <c r="P79" s="63"/>
      <c r="Q79" s="63"/>
      <c r="R79" s="63"/>
      <c r="S79" s="63"/>
      <c r="T79" s="64"/>
      <c r="U79" s="63"/>
      <c r="V79" s="63"/>
      <c r="W79" s="63"/>
      <c r="X79" s="63"/>
      <c r="Y79" s="63"/>
    </row>
    <row r="80" spans="1:25">
      <c r="A80" s="65"/>
      <c r="B80" s="63"/>
      <c r="C80" s="63"/>
      <c r="D80" s="63"/>
      <c r="E80" s="63"/>
      <c r="F80" s="63"/>
      <c r="G80" s="63"/>
      <c r="H80" s="63"/>
      <c r="I80" s="63"/>
      <c r="J80" s="63"/>
      <c r="K80" s="63"/>
      <c r="L80" s="63"/>
      <c r="M80" s="63"/>
      <c r="N80" s="63"/>
      <c r="O80" s="63"/>
      <c r="P80" s="63"/>
      <c r="Q80" s="63"/>
      <c r="R80" s="63"/>
      <c r="S80" s="63"/>
      <c r="T80" s="64"/>
      <c r="U80" s="63"/>
      <c r="V80" s="63"/>
      <c r="W80" s="63"/>
      <c r="X80" s="63"/>
      <c r="Y80" s="63"/>
    </row>
    <row r="81" spans="1:25">
      <c r="A81" s="65"/>
      <c r="B81" s="63"/>
      <c r="C81" s="63"/>
      <c r="D81" s="63"/>
      <c r="E81" s="63"/>
      <c r="F81" s="63"/>
      <c r="G81" s="63"/>
      <c r="H81" s="63"/>
      <c r="I81" s="63"/>
      <c r="J81" s="63"/>
      <c r="K81" s="63"/>
      <c r="L81" s="63"/>
      <c r="M81" s="63"/>
      <c r="N81" s="63"/>
      <c r="O81" s="63"/>
      <c r="P81" s="63"/>
      <c r="Q81" s="63"/>
      <c r="R81" s="63"/>
      <c r="S81" s="63"/>
      <c r="T81" s="64"/>
      <c r="U81" s="63"/>
      <c r="V81" s="63"/>
      <c r="W81" s="63"/>
      <c r="X81" s="63"/>
      <c r="Y81" s="63"/>
    </row>
    <row r="82" spans="1:25">
      <c r="A82" s="65"/>
      <c r="B82" s="63"/>
      <c r="C82" s="63"/>
      <c r="D82" s="63"/>
      <c r="E82" s="63"/>
      <c r="F82" s="63"/>
      <c r="G82" s="63"/>
      <c r="H82" s="63"/>
      <c r="I82" s="63"/>
      <c r="J82" s="63"/>
      <c r="K82" s="63"/>
      <c r="L82" s="63"/>
      <c r="M82" s="63"/>
      <c r="N82" s="63"/>
      <c r="O82" s="63"/>
      <c r="P82" s="63"/>
      <c r="Q82" s="63"/>
      <c r="R82" s="63"/>
      <c r="S82" s="63"/>
      <c r="T82" s="64"/>
      <c r="U82" s="63"/>
      <c r="V82" s="63"/>
      <c r="W82" s="63"/>
      <c r="X82" s="63"/>
      <c r="Y82" s="63"/>
    </row>
    <row r="83" spans="1:25">
      <c r="A83" s="65"/>
      <c r="B83" s="63"/>
      <c r="C83" s="63"/>
      <c r="D83" s="63"/>
      <c r="E83" s="63"/>
      <c r="F83" s="63"/>
      <c r="G83" s="63"/>
      <c r="H83" s="63"/>
      <c r="I83" s="63"/>
      <c r="J83" s="63"/>
      <c r="K83" s="63"/>
      <c r="L83" s="63"/>
      <c r="M83" s="63"/>
      <c r="N83" s="63"/>
      <c r="O83" s="63"/>
      <c r="P83" s="63"/>
      <c r="Q83" s="63"/>
      <c r="R83" s="63"/>
      <c r="S83" s="63"/>
      <c r="T83" s="64"/>
      <c r="U83" s="63"/>
      <c r="V83" s="63"/>
      <c r="W83" s="63"/>
      <c r="X83" s="63"/>
      <c r="Y83" s="63"/>
    </row>
    <row r="84" spans="1:25">
      <c r="A84" s="65"/>
    </row>
    <row r="85" spans="1:25">
      <c r="A85" s="65"/>
    </row>
    <row r="86" spans="1:25">
      <c r="A86" s="65"/>
    </row>
    <row r="87" spans="1:25">
      <c r="A87" s="65"/>
    </row>
    <row r="88" spans="1:25">
      <c r="A88" s="65"/>
    </row>
  </sheetData>
  <sheetProtection algorithmName="SHA-512" hashValue="Ijx92jVlZ1nB5pxPgcoP4q4Q0ZyJqfg0ovAaFYBa+SaAimRVLuAOSVMGKuV354qt7rDOkyjvRtPVeqh9aBgZ3w==" saltValue="tPK2j57oBPqh/iJBG7y6IA==" spinCount="100000" sheet="1" selectLockedCells="1"/>
  <protectedRanges>
    <protectedRange sqref="G8:M8 Q8 T32 T29 R7:T8 E7:M7 N7:N8 O7:Q7 C7:D8 T11 T13:T14" name="Range1_1"/>
    <protectedRange sqref="T21:T24" name="Range3_1"/>
    <protectedRange sqref="F29:O29 T26:T28" name="Range5_1"/>
    <protectedRange sqref="K36" name="Range8"/>
    <protectedRange sqref="P29" name="Range5_4"/>
    <protectedRange sqref="Q20:S28 AJ20:AJ28 AH20" name="Range5_1_1"/>
    <protectedRange sqref="N20:P28" name="Range5_2"/>
    <protectedRange sqref="P32 P14" name="Range1_1_1"/>
    <protectedRange sqref="P8" name="Range1_2"/>
  </protectedRanges>
  <mergeCells count="61">
    <mergeCell ref="B13:K13"/>
    <mergeCell ref="K14:M14"/>
    <mergeCell ref="Q14:S14"/>
    <mergeCell ref="B4:T4"/>
    <mergeCell ref="B7:N7"/>
    <mergeCell ref="K8:M8"/>
    <mergeCell ref="Q8:S8"/>
    <mergeCell ref="B11:G11"/>
    <mergeCell ref="Q11:S11"/>
    <mergeCell ref="V14:Z14"/>
    <mergeCell ref="B16:H16"/>
    <mergeCell ref="C19:J19"/>
    <mergeCell ref="K19:M19"/>
    <mergeCell ref="N19:P19"/>
    <mergeCell ref="Q19:S19"/>
    <mergeCell ref="Q17:S17"/>
    <mergeCell ref="C20:J20"/>
    <mergeCell ref="K20:M20"/>
    <mergeCell ref="N20:P20"/>
    <mergeCell ref="Q20:S20"/>
    <mergeCell ref="V20:Z28"/>
    <mergeCell ref="C21:J21"/>
    <mergeCell ref="K21:M21"/>
    <mergeCell ref="N21:P21"/>
    <mergeCell ref="Q21:S21"/>
    <mergeCell ref="C22:J22"/>
    <mergeCell ref="K22:M22"/>
    <mergeCell ref="N22:P22"/>
    <mergeCell ref="Q22:S22"/>
    <mergeCell ref="C23:J23"/>
    <mergeCell ref="K23:M23"/>
    <mergeCell ref="N23:P23"/>
    <mergeCell ref="Q23:S23"/>
    <mergeCell ref="C24:J24"/>
    <mergeCell ref="K24:M24"/>
    <mergeCell ref="N24:P24"/>
    <mergeCell ref="Q24:S24"/>
    <mergeCell ref="C25:J25"/>
    <mergeCell ref="K25:M25"/>
    <mergeCell ref="N25:P25"/>
    <mergeCell ref="Q25:S25"/>
    <mergeCell ref="C26:J26"/>
    <mergeCell ref="K26:M26"/>
    <mergeCell ref="N26:P26"/>
    <mergeCell ref="Q26:S26"/>
    <mergeCell ref="V32:Z32"/>
    <mergeCell ref="Q35:S35"/>
    <mergeCell ref="V35:Z35"/>
    <mergeCell ref="B34:F34"/>
    <mergeCell ref="C27:J27"/>
    <mergeCell ref="K27:M27"/>
    <mergeCell ref="N27:P27"/>
    <mergeCell ref="Q27:S27"/>
    <mergeCell ref="C28:J28"/>
    <mergeCell ref="K28:M28"/>
    <mergeCell ref="N28:P28"/>
    <mergeCell ref="Q28:S28"/>
    <mergeCell ref="Q29:S29"/>
    <mergeCell ref="B31:J31"/>
    <mergeCell ref="K32:M32"/>
    <mergeCell ref="Q32:S32"/>
  </mergeCells>
  <dataValidations count="2">
    <dataValidation type="list" allowBlank="1" showErrorMessage="1" sqref="B65556:B65564 WVJ983060:WVJ983068 IX20:IX28 ST20:ST28 ACP20:ACP28 AML20:AML28 AWH20:AWH28 BGD20:BGD28 BPZ20:BPZ28 BZV20:BZV28 CJR20:CJR28 CTN20:CTN28 DDJ20:DDJ28 DNF20:DNF28 DXB20:DXB28 EGX20:EGX28 EQT20:EQT28 FAP20:FAP28 FKL20:FKL28 FUH20:FUH28 GED20:GED28 GNZ20:GNZ28 GXV20:GXV28 HHR20:HHR28 HRN20:HRN28 IBJ20:IBJ28 ILF20:ILF28 IVB20:IVB28 JEX20:JEX28 JOT20:JOT28 JYP20:JYP28 KIL20:KIL28 KSH20:KSH28 LCD20:LCD28 LLZ20:LLZ28 LVV20:LVV28 MFR20:MFR28 MPN20:MPN28 MZJ20:MZJ28 NJF20:NJF28 NTB20:NTB28 OCX20:OCX28 OMT20:OMT28 OWP20:OWP28 PGL20:PGL28 PQH20:PQH28 QAD20:QAD28 QJZ20:QJZ28 QTV20:QTV28 RDR20:RDR28 RNN20:RNN28 RXJ20:RXJ28 SHF20:SHF28 SRB20:SRB28 TAX20:TAX28 TKT20:TKT28 TUP20:TUP28 UEL20:UEL28 UOH20:UOH28 UYD20:UYD28 VHZ20:VHZ28 VRV20:VRV28 WBR20:WBR28 WLN20:WLN28 WVJ20:WVJ28 IX65556:IX65564 ST65556:ST65564 ACP65556:ACP65564 AML65556:AML65564 AWH65556:AWH65564 BGD65556:BGD65564 BPZ65556:BPZ65564 BZV65556:BZV65564 CJR65556:CJR65564 CTN65556:CTN65564 DDJ65556:DDJ65564 DNF65556:DNF65564 DXB65556:DXB65564 EGX65556:EGX65564 EQT65556:EQT65564 FAP65556:FAP65564 FKL65556:FKL65564 FUH65556:FUH65564 GED65556:GED65564 GNZ65556:GNZ65564 GXV65556:GXV65564 HHR65556:HHR65564 HRN65556:HRN65564 IBJ65556:IBJ65564 ILF65556:ILF65564 IVB65556:IVB65564 JEX65556:JEX65564 JOT65556:JOT65564 JYP65556:JYP65564 KIL65556:KIL65564 KSH65556:KSH65564 LCD65556:LCD65564 LLZ65556:LLZ65564 LVV65556:LVV65564 MFR65556:MFR65564 MPN65556:MPN65564 MZJ65556:MZJ65564 NJF65556:NJF65564 NTB65556:NTB65564 OCX65556:OCX65564 OMT65556:OMT65564 OWP65556:OWP65564 PGL65556:PGL65564 PQH65556:PQH65564 QAD65556:QAD65564 QJZ65556:QJZ65564 QTV65556:QTV65564 RDR65556:RDR65564 RNN65556:RNN65564 RXJ65556:RXJ65564 SHF65556:SHF65564 SRB65556:SRB65564 TAX65556:TAX65564 TKT65556:TKT65564 TUP65556:TUP65564 UEL65556:UEL65564 UOH65556:UOH65564 UYD65556:UYD65564 VHZ65556:VHZ65564 VRV65556:VRV65564 WBR65556:WBR65564 WLN65556:WLN65564 WVJ65556:WVJ65564 B131092:B131100 IX131092:IX131100 ST131092:ST131100 ACP131092:ACP131100 AML131092:AML131100 AWH131092:AWH131100 BGD131092:BGD131100 BPZ131092:BPZ131100 BZV131092:BZV131100 CJR131092:CJR131100 CTN131092:CTN131100 DDJ131092:DDJ131100 DNF131092:DNF131100 DXB131092:DXB131100 EGX131092:EGX131100 EQT131092:EQT131100 FAP131092:FAP131100 FKL131092:FKL131100 FUH131092:FUH131100 GED131092:GED131100 GNZ131092:GNZ131100 GXV131092:GXV131100 HHR131092:HHR131100 HRN131092:HRN131100 IBJ131092:IBJ131100 ILF131092:ILF131100 IVB131092:IVB131100 JEX131092:JEX131100 JOT131092:JOT131100 JYP131092:JYP131100 KIL131092:KIL131100 KSH131092:KSH131100 LCD131092:LCD131100 LLZ131092:LLZ131100 LVV131092:LVV131100 MFR131092:MFR131100 MPN131092:MPN131100 MZJ131092:MZJ131100 NJF131092:NJF131100 NTB131092:NTB131100 OCX131092:OCX131100 OMT131092:OMT131100 OWP131092:OWP131100 PGL131092:PGL131100 PQH131092:PQH131100 QAD131092:QAD131100 QJZ131092:QJZ131100 QTV131092:QTV131100 RDR131092:RDR131100 RNN131092:RNN131100 RXJ131092:RXJ131100 SHF131092:SHF131100 SRB131092:SRB131100 TAX131092:TAX131100 TKT131092:TKT131100 TUP131092:TUP131100 UEL131092:UEL131100 UOH131092:UOH131100 UYD131092:UYD131100 VHZ131092:VHZ131100 VRV131092:VRV131100 WBR131092:WBR131100 WLN131092:WLN131100 WVJ131092:WVJ131100 B196628:B196636 IX196628:IX196636 ST196628:ST196636 ACP196628:ACP196636 AML196628:AML196636 AWH196628:AWH196636 BGD196628:BGD196636 BPZ196628:BPZ196636 BZV196628:BZV196636 CJR196628:CJR196636 CTN196628:CTN196636 DDJ196628:DDJ196636 DNF196628:DNF196636 DXB196628:DXB196636 EGX196628:EGX196636 EQT196628:EQT196636 FAP196628:FAP196636 FKL196628:FKL196636 FUH196628:FUH196636 GED196628:GED196636 GNZ196628:GNZ196636 GXV196628:GXV196636 HHR196628:HHR196636 HRN196628:HRN196636 IBJ196628:IBJ196636 ILF196628:ILF196636 IVB196628:IVB196636 JEX196628:JEX196636 JOT196628:JOT196636 JYP196628:JYP196636 KIL196628:KIL196636 KSH196628:KSH196636 LCD196628:LCD196636 LLZ196628:LLZ196636 LVV196628:LVV196636 MFR196628:MFR196636 MPN196628:MPN196636 MZJ196628:MZJ196636 NJF196628:NJF196636 NTB196628:NTB196636 OCX196628:OCX196636 OMT196628:OMT196636 OWP196628:OWP196636 PGL196628:PGL196636 PQH196628:PQH196636 QAD196628:QAD196636 QJZ196628:QJZ196636 QTV196628:QTV196636 RDR196628:RDR196636 RNN196628:RNN196636 RXJ196628:RXJ196636 SHF196628:SHF196636 SRB196628:SRB196636 TAX196628:TAX196636 TKT196628:TKT196636 TUP196628:TUP196636 UEL196628:UEL196636 UOH196628:UOH196636 UYD196628:UYD196636 VHZ196628:VHZ196636 VRV196628:VRV196636 WBR196628:WBR196636 WLN196628:WLN196636 WVJ196628:WVJ196636 B262164:B262172 IX262164:IX262172 ST262164:ST262172 ACP262164:ACP262172 AML262164:AML262172 AWH262164:AWH262172 BGD262164:BGD262172 BPZ262164:BPZ262172 BZV262164:BZV262172 CJR262164:CJR262172 CTN262164:CTN262172 DDJ262164:DDJ262172 DNF262164:DNF262172 DXB262164:DXB262172 EGX262164:EGX262172 EQT262164:EQT262172 FAP262164:FAP262172 FKL262164:FKL262172 FUH262164:FUH262172 GED262164:GED262172 GNZ262164:GNZ262172 GXV262164:GXV262172 HHR262164:HHR262172 HRN262164:HRN262172 IBJ262164:IBJ262172 ILF262164:ILF262172 IVB262164:IVB262172 JEX262164:JEX262172 JOT262164:JOT262172 JYP262164:JYP262172 KIL262164:KIL262172 KSH262164:KSH262172 LCD262164:LCD262172 LLZ262164:LLZ262172 LVV262164:LVV262172 MFR262164:MFR262172 MPN262164:MPN262172 MZJ262164:MZJ262172 NJF262164:NJF262172 NTB262164:NTB262172 OCX262164:OCX262172 OMT262164:OMT262172 OWP262164:OWP262172 PGL262164:PGL262172 PQH262164:PQH262172 QAD262164:QAD262172 QJZ262164:QJZ262172 QTV262164:QTV262172 RDR262164:RDR262172 RNN262164:RNN262172 RXJ262164:RXJ262172 SHF262164:SHF262172 SRB262164:SRB262172 TAX262164:TAX262172 TKT262164:TKT262172 TUP262164:TUP262172 UEL262164:UEL262172 UOH262164:UOH262172 UYD262164:UYD262172 VHZ262164:VHZ262172 VRV262164:VRV262172 WBR262164:WBR262172 WLN262164:WLN262172 WVJ262164:WVJ262172 B327700:B327708 IX327700:IX327708 ST327700:ST327708 ACP327700:ACP327708 AML327700:AML327708 AWH327700:AWH327708 BGD327700:BGD327708 BPZ327700:BPZ327708 BZV327700:BZV327708 CJR327700:CJR327708 CTN327700:CTN327708 DDJ327700:DDJ327708 DNF327700:DNF327708 DXB327700:DXB327708 EGX327700:EGX327708 EQT327700:EQT327708 FAP327700:FAP327708 FKL327700:FKL327708 FUH327700:FUH327708 GED327700:GED327708 GNZ327700:GNZ327708 GXV327700:GXV327708 HHR327700:HHR327708 HRN327700:HRN327708 IBJ327700:IBJ327708 ILF327700:ILF327708 IVB327700:IVB327708 JEX327700:JEX327708 JOT327700:JOT327708 JYP327700:JYP327708 KIL327700:KIL327708 KSH327700:KSH327708 LCD327700:LCD327708 LLZ327700:LLZ327708 LVV327700:LVV327708 MFR327700:MFR327708 MPN327700:MPN327708 MZJ327700:MZJ327708 NJF327700:NJF327708 NTB327700:NTB327708 OCX327700:OCX327708 OMT327700:OMT327708 OWP327700:OWP327708 PGL327700:PGL327708 PQH327700:PQH327708 QAD327700:QAD327708 QJZ327700:QJZ327708 QTV327700:QTV327708 RDR327700:RDR327708 RNN327700:RNN327708 RXJ327700:RXJ327708 SHF327700:SHF327708 SRB327700:SRB327708 TAX327700:TAX327708 TKT327700:TKT327708 TUP327700:TUP327708 UEL327700:UEL327708 UOH327700:UOH327708 UYD327700:UYD327708 VHZ327700:VHZ327708 VRV327700:VRV327708 WBR327700:WBR327708 WLN327700:WLN327708 WVJ327700:WVJ327708 B393236:B393244 IX393236:IX393244 ST393236:ST393244 ACP393236:ACP393244 AML393236:AML393244 AWH393236:AWH393244 BGD393236:BGD393244 BPZ393236:BPZ393244 BZV393236:BZV393244 CJR393236:CJR393244 CTN393236:CTN393244 DDJ393236:DDJ393244 DNF393236:DNF393244 DXB393236:DXB393244 EGX393236:EGX393244 EQT393236:EQT393244 FAP393236:FAP393244 FKL393236:FKL393244 FUH393236:FUH393244 GED393236:GED393244 GNZ393236:GNZ393244 GXV393236:GXV393244 HHR393236:HHR393244 HRN393236:HRN393244 IBJ393236:IBJ393244 ILF393236:ILF393244 IVB393236:IVB393244 JEX393236:JEX393244 JOT393236:JOT393244 JYP393236:JYP393244 KIL393236:KIL393244 KSH393236:KSH393244 LCD393236:LCD393244 LLZ393236:LLZ393244 LVV393236:LVV393244 MFR393236:MFR393244 MPN393236:MPN393244 MZJ393236:MZJ393244 NJF393236:NJF393244 NTB393236:NTB393244 OCX393236:OCX393244 OMT393236:OMT393244 OWP393236:OWP393244 PGL393236:PGL393244 PQH393236:PQH393244 QAD393236:QAD393244 QJZ393236:QJZ393244 QTV393236:QTV393244 RDR393236:RDR393244 RNN393236:RNN393244 RXJ393236:RXJ393244 SHF393236:SHF393244 SRB393236:SRB393244 TAX393236:TAX393244 TKT393236:TKT393244 TUP393236:TUP393244 UEL393236:UEL393244 UOH393236:UOH393244 UYD393236:UYD393244 VHZ393236:VHZ393244 VRV393236:VRV393244 WBR393236:WBR393244 WLN393236:WLN393244 WVJ393236:WVJ393244 B458772:B458780 IX458772:IX458780 ST458772:ST458780 ACP458772:ACP458780 AML458772:AML458780 AWH458772:AWH458780 BGD458772:BGD458780 BPZ458772:BPZ458780 BZV458772:BZV458780 CJR458772:CJR458780 CTN458772:CTN458780 DDJ458772:DDJ458780 DNF458772:DNF458780 DXB458772:DXB458780 EGX458772:EGX458780 EQT458772:EQT458780 FAP458772:FAP458780 FKL458772:FKL458780 FUH458772:FUH458780 GED458772:GED458780 GNZ458772:GNZ458780 GXV458772:GXV458780 HHR458772:HHR458780 HRN458772:HRN458780 IBJ458772:IBJ458780 ILF458772:ILF458780 IVB458772:IVB458780 JEX458772:JEX458780 JOT458772:JOT458780 JYP458772:JYP458780 KIL458772:KIL458780 KSH458772:KSH458780 LCD458772:LCD458780 LLZ458772:LLZ458780 LVV458772:LVV458780 MFR458772:MFR458780 MPN458772:MPN458780 MZJ458772:MZJ458780 NJF458772:NJF458780 NTB458772:NTB458780 OCX458772:OCX458780 OMT458772:OMT458780 OWP458772:OWP458780 PGL458772:PGL458780 PQH458772:PQH458780 QAD458772:QAD458780 QJZ458772:QJZ458780 QTV458772:QTV458780 RDR458772:RDR458780 RNN458772:RNN458780 RXJ458772:RXJ458780 SHF458772:SHF458780 SRB458772:SRB458780 TAX458772:TAX458780 TKT458772:TKT458780 TUP458772:TUP458780 UEL458772:UEL458780 UOH458772:UOH458780 UYD458772:UYD458780 VHZ458772:VHZ458780 VRV458772:VRV458780 WBR458772:WBR458780 WLN458772:WLN458780 WVJ458772:WVJ458780 B524308:B524316 IX524308:IX524316 ST524308:ST524316 ACP524308:ACP524316 AML524308:AML524316 AWH524308:AWH524316 BGD524308:BGD524316 BPZ524308:BPZ524316 BZV524308:BZV524316 CJR524308:CJR524316 CTN524308:CTN524316 DDJ524308:DDJ524316 DNF524308:DNF524316 DXB524308:DXB524316 EGX524308:EGX524316 EQT524308:EQT524316 FAP524308:FAP524316 FKL524308:FKL524316 FUH524308:FUH524316 GED524308:GED524316 GNZ524308:GNZ524316 GXV524308:GXV524316 HHR524308:HHR524316 HRN524308:HRN524316 IBJ524308:IBJ524316 ILF524308:ILF524316 IVB524308:IVB524316 JEX524308:JEX524316 JOT524308:JOT524316 JYP524308:JYP524316 KIL524308:KIL524316 KSH524308:KSH524316 LCD524308:LCD524316 LLZ524308:LLZ524316 LVV524308:LVV524316 MFR524308:MFR524316 MPN524308:MPN524316 MZJ524308:MZJ524316 NJF524308:NJF524316 NTB524308:NTB524316 OCX524308:OCX524316 OMT524308:OMT524316 OWP524308:OWP524316 PGL524308:PGL524316 PQH524308:PQH524316 QAD524308:QAD524316 QJZ524308:QJZ524316 QTV524308:QTV524316 RDR524308:RDR524316 RNN524308:RNN524316 RXJ524308:RXJ524316 SHF524308:SHF524316 SRB524308:SRB524316 TAX524308:TAX524316 TKT524308:TKT524316 TUP524308:TUP524316 UEL524308:UEL524316 UOH524308:UOH524316 UYD524308:UYD524316 VHZ524308:VHZ524316 VRV524308:VRV524316 WBR524308:WBR524316 WLN524308:WLN524316 WVJ524308:WVJ524316 B589844:B589852 IX589844:IX589852 ST589844:ST589852 ACP589844:ACP589852 AML589844:AML589852 AWH589844:AWH589852 BGD589844:BGD589852 BPZ589844:BPZ589852 BZV589844:BZV589852 CJR589844:CJR589852 CTN589844:CTN589852 DDJ589844:DDJ589852 DNF589844:DNF589852 DXB589844:DXB589852 EGX589844:EGX589852 EQT589844:EQT589852 FAP589844:FAP589852 FKL589844:FKL589852 FUH589844:FUH589852 GED589844:GED589852 GNZ589844:GNZ589852 GXV589844:GXV589852 HHR589844:HHR589852 HRN589844:HRN589852 IBJ589844:IBJ589852 ILF589844:ILF589852 IVB589844:IVB589852 JEX589844:JEX589852 JOT589844:JOT589852 JYP589844:JYP589852 KIL589844:KIL589852 KSH589844:KSH589852 LCD589844:LCD589852 LLZ589844:LLZ589852 LVV589844:LVV589852 MFR589844:MFR589852 MPN589844:MPN589852 MZJ589844:MZJ589852 NJF589844:NJF589852 NTB589844:NTB589852 OCX589844:OCX589852 OMT589844:OMT589852 OWP589844:OWP589852 PGL589844:PGL589852 PQH589844:PQH589852 QAD589844:QAD589852 QJZ589844:QJZ589852 QTV589844:QTV589852 RDR589844:RDR589852 RNN589844:RNN589852 RXJ589844:RXJ589852 SHF589844:SHF589852 SRB589844:SRB589852 TAX589844:TAX589852 TKT589844:TKT589852 TUP589844:TUP589852 UEL589844:UEL589852 UOH589844:UOH589852 UYD589844:UYD589852 VHZ589844:VHZ589852 VRV589844:VRV589852 WBR589844:WBR589852 WLN589844:WLN589852 WVJ589844:WVJ589852 B655380:B655388 IX655380:IX655388 ST655380:ST655388 ACP655380:ACP655388 AML655380:AML655388 AWH655380:AWH655388 BGD655380:BGD655388 BPZ655380:BPZ655388 BZV655380:BZV655388 CJR655380:CJR655388 CTN655380:CTN655388 DDJ655380:DDJ655388 DNF655380:DNF655388 DXB655380:DXB655388 EGX655380:EGX655388 EQT655380:EQT655388 FAP655380:FAP655388 FKL655380:FKL655388 FUH655380:FUH655388 GED655380:GED655388 GNZ655380:GNZ655388 GXV655380:GXV655388 HHR655380:HHR655388 HRN655380:HRN655388 IBJ655380:IBJ655388 ILF655380:ILF655388 IVB655380:IVB655388 JEX655380:JEX655388 JOT655380:JOT655388 JYP655380:JYP655388 KIL655380:KIL655388 KSH655380:KSH655388 LCD655380:LCD655388 LLZ655380:LLZ655388 LVV655380:LVV655388 MFR655380:MFR655388 MPN655380:MPN655388 MZJ655380:MZJ655388 NJF655380:NJF655388 NTB655380:NTB655388 OCX655380:OCX655388 OMT655380:OMT655388 OWP655380:OWP655388 PGL655380:PGL655388 PQH655380:PQH655388 QAD655380:QAD655388 QJZ655380:QJZ655388 QTV655380:QTV655388 RDR655380:RDR655388 RNN655380:RNN655388 RXJ655380:RXJ655388 SHF655380:SHF655388 SRB655380:SRB655388 TAX655380:TAX655388 TKT655380:TKT655388 TUP655380:TUP655388 UEL655380:UEL655388 UOH655380:UOH655388 UYD655380:UYD655388 VHZ655380:VHZ655388 VRV655380:VRV655388 WBR655380:WBR655388 WLN655380:WLN655388 WVJ655380:WVJ655388 B720916:B720924 IX720916:IX720924 ST720916:ST720924 ACP720916:ACP720924 AML720916:AML720924 AWH720916:AWH720924 BGD720916:BGD720924 BPZ720916:BPZ720924 BZV720916:BZV720924 CJR720916:CJR720924 CTN720916:CTN720924 DDJ720916:DDJ720924 DNF720916:DNF720924 DXB720916:DXB720924 EGX720916:EGX720924 EQT720916:EQT720924 FAP720916:FAP720924 FKL720916:FKL720924 FUH720916:FUH720924 GED720916:GED720924 GNZ720916:GNZ720924 GXV720916:GXV720924 HHR720916:HHR720924 HRN720916:HRN720924 IBJ720916:IBJ720924 ILF720916:ILF720924 IVB720916:IVB720924 JEX720916:JEX720924 JOT720916:JOT720924 JYP720916:JYP720924 KIL720916:KIL720924 KSH720916:KSH720924 LCD720916:LCD720924 LLZ720916:LLZ720924 LVV720916:LVV720924 MFR720916:MFR720924 MPN720916:MPN720924 MZJ720916:MZJ720924 NJF720916:NJF720924 NTB720916:NTB720924 OCX720916:OCX720924 OMT720916:OMT720924 OWP720916:OWP720924 PGL720916:PGL720924 PQH720916:PQH720924 QAD720916:QAD720924 QJZ720916:QJZ720924 QTV720916:QTV720924 RDR720916:RDR720924 RNN720916:RNN720924 RXJ720916:RXJ720924 SHF720916:SHF720924 SRB720916:SRB720924 TAX720916:TAX720924 TKT720916:TKT720924 TUP720916:TUP720924 UEL720916:UEL720924 UOH720916:UOH720924 UYD720916:UYD720924 VHZ720916:VHZ720924 VRV720916:VRV720924 WBR720916:WBR720924 WLN720916:WLN720924 WVJ720916:WVJ720924 B786452:B786460 IX786452:IX786460 ST786452:ST786460 ACP786452:ACP786460 AML786452:AML786460 AWH786452:AWH786460 BGD786452:BGD786460 BPZ786452:BPZ786460 BZV786452:BZV786460 CJR786452:CJR786460 CTN786452:CTN786460 DDJ786452:DDJ786460 DNF786452:DNF786460 DXB786452:DXB786460 EGX786452:EGX786460 EQT786452:EQT786460 FAP786452:FAP786460 FKL786452:FKL786460 FUH786452:FUH786460 GED786452:GED786460 GNZ786452:GNZ786460 GXV786452:GXV786460 HHR786452:HHR786460 HRN786452:HRN786460 IBJ786452:IBJ786460 ILF786452:ILF786460 IVB786452:IVB786460 JEX786452:JEX786460 JOT786452:JOT786460 JYP786452:JYP786460 KIL786452:KIL786460 KSH786452:KSH786460 LCD786452:LCD786460 LLZ786452:LLZ786460 LVV786452:LVV786460 MFR786452:MFR786460 MPN786452:MPN786460 MZJ786452:MZJ786460 NJF786452:NJF786460 NTB786452:NTB786460 OCX786452:OCX786460 OMT786452:OMT786460 OWP786452:OWP786460 PGL786452:PGL786460 PQH786452:PQH786460 QAD786452:QAD786460 QJZ786452:QJZ786460 QTV786452:QTV786460 RDR786452:RDR786460 RNN786452:RNN786460 RXJ786452:RXJ786460 SHF786452:SHF786460 SRB786452:SRB786460 TAX786452:TAX786460 TKT786452:TKT786460 TUP786452:TUP786460 UEL786452:UEL786460 UOH786452:UOH786460 UYD786452:UYD786460 VHZ786452:VHZ786460 VRV786452:VRV786460 WBR786452:WBR786460 WLN786452:WLN786460 WVJ786452:WVJ786460 B851988:B851996 IX851988:IX851996 ST851988:ST851996 ACP851988:ACP851996 AML851988:AML851996 AWH851988:AWH851996 BGD851988:BGD851996 BPZ851988:BPZ851996 BZV851988:BZV851996 CJR851988:CJR851996 CTN851988:CTN851996 DDJ851988:DDJ851996 DNF851988:DNF851996 DXB851988:DXB851996 EGX851988:EGX851996 EQT851988:EQT851996 FAP851988:FAP851996 FKL851988:FKL851996 FUH851988:FUH851996 GED851988:GED851996 GNZ851988:GNZ851996 GXV851988:GXV851996 HHR851988:HHR851996 HRN851988:HRN851996 IBJ851988:IBJ851996 ILF851988:ILF851996 IVB851988:IVB851996 JEX851988:JEX851996 JOT851988:JOT851996 JYP851988:JYP851996 KIL851988:KIL851996 KSH851988:KSH851996 LCD851988:LCD851996 LLZ851988:LLZ851996 LVV851988:LVV851996 MFR851988:MFR851996 MPN851988:MPN851996 MZJ851988:MZJ851996 NJF851988:NJF851996 NTB851988:NTB851996 OCX851988:OCX851996 OMT851988:OMT851996 OWP851988:OWP851996 PGL851988:PGL851996 PQH851988:PQH851996 QAD851988:QAD851996 QJZ851988:QJZ851996 QTV851988:QTV851996 RDR851988:RDR851996 RNN851988:RNN851996 RXJ851988:RXJ851996 SHF851988:SHF851996 SRB851988:SRB851996 TAX851988:TAX851996 TKT851988:TKT851996 TUP851988:TUP851996 UEL851988:UEL851996 UOH851988:UOH851996 UYD851988:UYD851996 VHZ851988:VHZ851996 VRV851988:VRV851996 WBR851988:WBR851996 WLN851988:WLN851996 WVJ851988:WVJ851996 B917524:B917532 IX917524:IX917532 ST917524:ST917532 ACP917524:ACP917532 AML917524:AML917532 AWH917524:AWH917532 BGD917524:BGD917532 BPZ917524:BPZ917532 BZV917524:BZV917532 CJR917524:CJR917532 CTN917524:CTN917532 DDJ917524:DDJ917532 DNF917524:DNF917532 DXB917524:DXB917532 EGX917524:EGX917532 EQT917524:EQT917532 FAP917524:FAP917532 FKL917524:FKL917532 FUH917524:FUH917532 GED917524:GED917532 GNZ917524:GNZ917532 GXV917524:GXV917532 HHR917524:HHR917532 HRN917524:HRN917532 IBJ917524:IBJ917532 ILF917524:ILF917532 IVB917524:IVB917532 JEX917524:JEX917532 JOT917524:JOT917532 JYP917524:JYP917532 KIL917524:KIL917532 KSH917524:KSH917532 LCD917524:LCD917532 LLZ917524:LLZ917532 LVV917524:LVV917532 MFR917524:MFR917532 MPN917524:MPN917532 MZJ917524:MZJ917532 NJF917524:NJF917532 NTB917524:NTB917532 OCX917524:OCX917532 OMT917524:OMT917532 OWP917524:OWP917532 PGL917524:PGL917532 PQH917524:PQH917532 QAD917524:QAD917532 QJZ917524:QJZ917532 QTV917524:QTV917532 RDR917524:RDR917532 RNN917524:RNN917532 RXJ917524:RXJ917532 SHF917524:SHF917532 SRB917524:SRB917532 TAX917524:TAX917532 TKT917524:TKT917532 TUP917524:TUP917532 UEL917524:UEL917532 UOH917524:UOH917532 UYD917524:UYD917532 VHZ917524:VHZ917532 VRV917524:VRV917532 WBR917524:WBR917532 WLN917524:WLN917532 WVJ917524:WVJ917532 B983060:B983068 IX983060:IX983068 ST983060:ST983068 ACP983060:ACP983068 AML983060:AML983068 AWH983060:AWH983068 BGD983060:BGD983068 BPZ983060:BPZ983068 BZV983060:BZV983068 CJR983060:CJR983068 CTN983060:CTN983068 DDJ983060:DDJ983068 DNF983060:DNF983068 DXB983060:DXB983068 EGX983060:EGX983068 EQT983060:EQT983068 FAP983060:FAP983068 FKL983060:FKL983068 FUH983060:FUH983068 GED983060:GED983068 GNZ983060:GNZ983068 GXV983060:GXV983068 HHR983060:HHR983068 HRN983060:HRN983068 IBJ983060:IBJ983068 ILF983060:ILF983068 IVB983060:IVB983068 JEX983060:JEX983068 JOT983060:JOT983068 JYP983060:JYP983068 KIL983060:KIL983068 KSH983060:KSH983068 LCD983060:LCD983068 LLZ983060:LLZ983068 LVV983060:LVV983068 MFR983060:MFR983068 MPN983060:MPN983068 MZJ983060:MZJ983068 NJF983060:NJF983068 NTB983060:NTB983068 OCX983060:OCX983068 OMT983060:OMT983068 OWP983060:OWP983068 PGL983060:PGL983068 PQH983060:PQH983068 QAD983060:QAD983068 QJZ983060:QJZ983068 QTV983060:QTV983068 RDR983060:RDR983068 RNN983060:RNN983068 RXJ983060:RXJ983068 SHF983060:SHF983068 SRB983060:SRB983068 TAX983060:TAX983068 TKT983060:TKT983068 TUP983060:TUP983068 UEL983060:UEL983068 UOH983060:UOH983068 UYD983060:UYD983068 VHZ983060:VHZ983068 VRV983060:VRV983068 WBR983060:WBR983068 WLN983060:WLN983068" xr:uid="{95181486-C40D-4221-85D0-4E7656D3A1D9}">
      <formula1>$A$55:$A$88</formula1>
    </dataValidation>
    <dataValidation type="list" allowBlank="1" showErrorMessage="1" sqref="B20:B28" xr:uid="{13F43DB5-E926-40DE-BFA6-E67A5522FC24}">
      <formula1>$B$40:$B$79</formula1>
    </dataValidation>
  </dataValidations>
  <printOptions horizontalCentered="1"/>
  <pageMargins left="0.74803149606299213" right="0.74803149606299213" top="0.98425196850393704" bottom="0.98425196850393704" header="0.51181102362204722" footer="0.51181102362204722"/>
  <pageSetup paperSize="9" scale="93" orientation="portrait" r:id="rId1"/>
  <headerFooter scaleWithDoc="0" alignWithMargins="0">
    <oddHeader>&amp;L&amp;"-,Regular"&amp;8&amp;F&amp;R&amp;"-,Regular"&amp;8&amp;A
____________________________________________________________________________</oddHeader>
    <oddFooter>&amp;L&amp;"-,Regular"&amp;8___________________________________________________________________________________
NZ Transport Agency’s Economic evaluation manual 
Effective from Jul 2013</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086BD-C73F-48BA-B260-D4E4766F9D97}">
  <sheetPr>
    <pageSetUpPr fitToPage="1"/>
  </sheetPr>
  <dimension ref="A1:AJ89"/>
  <sheetViews>
    <sheetView topLeftCell="A20" zoomScale="115" zoomScaleNormal="115" workbookViewId="0">
      <selection activeCell="K33" sqref="K33:M33"/>
    </sheetView>
  </sheetViews>
  <sheetFormatPr defaultColWidth="7.69921875" defaultRowHeight="12.6"/>
  <cols>
    <col min="1" max="1" width="1.796875" style="61" customWidth="1"/>
    <col min="2" max="2" width="8.296875" style="61" customWidth="1"/>
    <col min="3" max="6" width="3.19921875" style="61" customWidth="1"/>
    <col min="7" max="7" width="3.5" style="61" customWidth="1"/>
    <col min="8" max="8" width="4.19921875" style="61" customWidth="1"/>
    <col min="9" max="9" width="6.69921875" style="61" customWidth="1"/>
    <col min="10" max="10" width="4.296875" style="61" customWidth="1"/>
    <col min="11" max="19" width="4.69921875" style="61" customWidth="1"/>
    <col min="20" max="20" width="3" style="62" customWidth="1"/>
    <col min="21" max="21" width="13.69921875" style="61" customWidth="1"/>
    <col min="22" max="22" width="26.69921875" style="61" customWidth="1"/>
    <col min="23" max="26" width="13.69921875" style="61" customWidth="1"/>
    <col min="27" max="27" width="7.69921875" style="61" customWidth="1"/>
    <col min="28" max="32" width="7.69921875" style="61"/>
    <col min="33" max="36" width="0" style="61" hidden="1" customWidth="1"/>
    <col min="37" max="256" width="7.69921875" style="61"/>
    <col min="257" max="257" width="1.796875" style="61" customWidth="1"/>
    <col min="258" max="258" width="8.296875" style="61" customWidth="1"/>
    <col min="259" max="265" width="3.19921875" style="61" customWidth="1"/>
    <col min="266" max="266" width="4.296875" style="61" customWidth="1"/>
    <col min="267" max="275" width="4.69921875" style="61" customWidth="1"/>
    <col min="276" max="276" width="3" style="61" customWidth="1"/>
    <col min="277" max="277" width="13.69921875" style="61" customWidth="1"/>
    <col min="278" max="278" width="26.69921875" style="61" customWidth="1"/>
    <col min="279" max="282" width="13.69921875" style="61" customWidth="1"/>
    <col min="283" max="288" width="7.69921875" style="61"/>
    <col min="289" max="292" width="0" style="61" hidden="1" customWidth="1"/>
    <col min="293" max="512" width="7.69921875" style="61"/>
    <col min="513" max="513" width="1.796875" style="61" customWidth="1"/>
    <col min="514" max="514" width="8.296875" style="61" customWidth="1"/>
    <col min="515" max="521" width="3.19921875" style="61" customWidth="1"/>
    <col min="522" max="522" width="4.296875" style="61" customWidth="1"/>
    <col min="523" max="531" width="4.69921875" style="61" customWidth="1"/>
    <col min="532" max="532" width="3" style="61" customWidth="1"/>
    <col min="533" max="533" width="13.69921875" style="61" customWidth="1"/>
    <col min="534" max="534" width="26.69921875" style="61" customWidth="1"/>
    <col min="535" max="538" width="13.69921875" style="61" customWidth="1"/>
    <col min="539" max="544" width="7.69921875" style="61"/>
    <col min="545" max="548" width="0" style="61" hidden="1" customWidth="1"/>
    <col min="549" max="768" width="7.69921875" style="61"/>
    <col min="769" max="769" width="1.796875" style="61" customWidth="1"/>
    <col min="770" max="770" width="8.296875" style="61" customWidth="1"/>
    <col min="771" max="777" width="3.19921875" style="61" customWidth="1"/>
    <col min="778" max="778" width="4.296875" style="61" customWidth="1"/>
    <col min="779" max="787" width="4.69921875" style="61" customWidth="1"/>
    <col min="788" max="788" width="3" style="61" customWidth="1"/>
    <col min="789" max="789" width="13.69921875" style="61" customWidth="1"/>
    <col min="790" max="790" width="26.69921875" style="61" customWidth="1"/>
    <col min="791" max="794" width="13.69921875" style="61" customWidth="1"/>
    <col min="795" max="800" width="7.69921875" style="61"/>
    <col min="801" max="804" width="0" style="61" hidden="1" customWidth="1"/>
    <col min="805" max="1024" width="7.69921875" style="61"/>
    <col min="1025" max="1025" width="1.796875" style="61" customWidth="1"/>
    <col min="1026" max="1026" width="8.296875" style="61" customWidth="1"/>
    <col min="1027" max="1033" width="3.19921875" style="61" customWidth="1"/>
    <col min="1034" max="1034" width="4.296875" style="61" customWidth="1"/>
    <col min="1035" max="1043" width="4.69921875" style="61" customWidth="1"/>
    <col min="1044" max="1044" width="3" style="61" customWidth="1"/>
    <col min="1045" max="1045" width="13.69921875" style="61" customWidth="1"/>
    <col min="1046" max="1046" width="26.69921875" style="61" customWidth="1"/>
    <col min="1047" max="1050" width="13.69921875" style="61" customWidth="1"/>
    <col min="1051" max="1056" width="7.69921875" style="61"/>
    <col min="1057" max="1060" width="0" style="61" hidden="1" customWidth="1"/>
    <col min="1061" max="1280" width="7.69921875" style="61"/>
    <col min="1281" max="1281" width="1.796875" style="61" customWidth="1"/>
    <col min="1282" max="1282" width="8.296875" style="61" customWidth="1"/>
    <col min="1283" max="1289" width="3.19921875" style="61" customWidth="1"/>
    <col min="1290" max="1290" width="4.296875" style="61" customWidth="1"/>
    <col min="1291" max="1299" width="4.69921875" style="61" customWidth="1"/>
    <col min="1300" max="1300" width="3" style="61" customWidth="1"/>
    <col min="1301" max="1301" width="13.69921875" style="61" customWidth="1"/>
    <col min="1302" max="1302" width="26.69921875" style="61" customWidth="1"/>
    <col min="1303" max="1306" width="13.69921875" style="61" customWidth="1"/>
    <col min="1307" max="1312" width="7.69921875" style="61"/>
    <col min="1313" max="1316" width="0" style="61" hidden="1" customWidth="1"/>
    <col min="1317" max="1536" width="7.69921875" style="61"/>
    <col min="1537" max="1537" width="1.796875" style="61" customWidth="1"/>
    <col min="1538" max="1538" width="8.296875" style="61" customWidth="1"/>
    <col min="1539" max="1545" width="3.19921875" style="61" customWidth="1"/>
    <col min="1546" max="1546" width="4.296875" style="61" customWidth="1"/>
    <col min="1547" max="1555" width="4.69921875" style="61" customWidth="1"/>
    <col min="1556" max="1556" width="3" style="61" customWidth="1"/>
    <col min="1557" max="1557" width="13.69921875" style="61" customWidth="1"/>
    <col min="1558" max="1558" width="26.69921875" style="61" customWidth="1"/>
    <col min="1559" max="1562" width="13.69921875" style="61" customWidth="1"/>
    <col min="1563" max="1568" width="7.69921875" style="61"/>
    <col min="1569" max="1572" width="0" style="61" hidden="1" customWidth="1"/>
    <col min="1573" max="1792" width="7.69921875" style="61"/>
    <col min="1793" max="1793" width="1.796875" style="61" customWidth="1"/>
    <col min="1794" max="1794" width="8.296875" style="61" customWidth="1"/>
    <col min="1795" max="1801" width="3.19921875" style="61" customWidth="1"/>
    <col min="1802" max="1802" width="4.296875" style="61" customWidth="1"/>
    <col min="1803" max="1811" width="4.69921875" style="61" customWidth="1"/>
    <col min="1812" max="1812" width="3" style="61" customWidth="1"/>
    <col min="1813" max="1813" width="13.69921875" style="61" customWidth="1"/>
    <col min="1814" max="1814" width="26.69921875" style="61" customWidth="1"/>
    <col min="1815" max="1818" width="13.69921875" style="61" customWidth="1"/>
    <col min="1819" max="1824" width="7.69921875" style="61"/>
    <col min="1825" max="1828" width="0" style="61" hidden="1" customWidth="1"/>
    <col min="1829" max="2048" width="7.69921875" style="61"/>
    <col min="2049" max="2049" width="1.796875" style="61" customWidth="1"/>
    <col min="2050" max="2050" width="8.296875" style="61" customWidth="1"/>
    <col min="2051" max="2057" width="3.19921875" style="61" customWidth="1"/>
    <col min="2058" max="2058" width="4.296875" style="61" customWidth="1"/>
    <col min="2059" max="2067" width="4.69921875" style="61" customWidth="1"/>
    <col min="2068" max="2068" width="3" style="61" customWidth="1"/>
    <col min="2069" max="2069" width="13.69921875" style="61" customWidth="1"/>
    <col min="2070" max="2070" width="26.69921875" style="61" customWidth="1"/>
    <col min="2071" max="2074" width="13.69921875" style="61" customWidth="1"/>
    <col min="2075" max="2080" width="7.69921875" style="61"/>
    <col min="2081" max="2084" width="0" style="61" hidden="1" customWidth="1"/>
    <col min="2085" max="2304" width="7.69921875" style="61"/>
    <col min="2305" max="2305" width="1.796875" style="61" customWidth="1"/>
    <col min="2306" max="2306" width="8.296875" style="61" customWidth="1"/>
    <col min="2307" max="2313" width="3.19921875" style="61" customWidth="1"/>
    <col min="2314" max="2314" width="4.296875" style="61" customWidth="1"/>
    <col min="2315" max="2323" width="4.69921875" style="61" customWidth="1"/>
    <col min="2324" max="2324" width="3" style="61" customWidth="1"/>
    <col min="2325" max="2325" width="13.69921875" style="61" customWidth="1"/>
    <col min="2326" max="2326" width="26.69921875" style="61" customWidth="1"/>
    <col min="2327" max="2330" width="13.69921875" style="61" customWidth="1"/>
    <col min="2331" max="2336" width="7.69921875" style="61"/>
    <col min="2337" max="2340" width="0" style="61" hidden="1" customWidth="1"/>
    <col min="2341" max="2560" width="7.69921875" style="61"/>
    <col min="2561" max="2561" width="1.796875" style="61" customWidth="1"/>
    <col min="2562" max="2562" width="8.296875" style="61" customWidth="1"/>
    <col min="2563" max="2569" width="3.19921875" style="61" customWidth="1"/>
    <col min="2570" max="2570" width="4.296875" style="61" customWidth="1"/>
    <col min="2571" max="2579" width="4.69921875" style="61" customWidth="1"/>
    <col min="2580" max="2580" width="3" style="61" customWidth="1"/>
    <col min="2581" max="2581" width="13.69921875" style="61" customWidth="1"/>
    <col min="2582" max="2582" width="26.69921875" style="61" customWidth="1"/>
    <col min="2583" max="2586" width="13.69921875" style="61" customWidth="1"/>
    <col min="2587" max="2592" width="7.69921875" style="61"/>
    <col min="2593" max="2596" width="0" style="61" hidden="1" customWidth="1"/>
    <col min="2597" max="2816" width="7.69921875" style="61"/>
    <col min="2817" max="2817" width="1.796875" style="61" customWidth="1"/>
    <col min="2818" max="2818" width="8.296875" style="61" customWidth="1"/>
    <col min="2819" max="2825" width="3.19921875" style="61" customWidth="1"/>
    <col min="2826" max="2826" width="4.296875" style="61" customWidth="1"/>
    <col min="2827" max="2835" width="4.69921875" style="61" customWidth="1"/>
    <col min="2836" max="2836" width="3" style="61" customWidth="1"/>
    <col min="2837" max="2837" width="13.69921875" style="61" customWidth="1"/>
    <col min="2838" max="2838" width="26.69921875" style="61" customWidth="1"/>
    <col min="2839" max="2842" width="13.69921875" style="61" customWidth="1"/>
    <col min="2843" max="2848" width="7.69921875" style="61"/>
    <col min="2849" max="2852" width="0" style="61" hidden="1" customWidth="1"/>
    <col min="2853" max="3072" width="7.69921875" style="61"/>
    <col min="3073" max="3073" width="1.796875" style="61" customWidth="1"/>
    <col min="3074" max="3074" width="8.296875" style="61" customWidth="1"/>
    <col min="3075" max="3081" width="3.19921875" style="61" customWidth="1"/>
    <col min="3082" max="3082" width="4.296875" style="61" customWidth="1"/>
    <col min="3083" max="3091" width="4.69921875" style="61" customWidth="1"/>
    <col min="3092" max="3092" width="3" style="61" customWidth="1"/>
    <col min="3093" max="3093" width="13.69921875" style="61" customWidth="1"/>
    <col min="3094" max="3094" width="26.69921875" style="61" customWidth="1"/>
    <col min="3095" max="3098" width="13.69921875" style="61" customWidth="1"/>
    <col min="3099" max="3104" width="7.69921875" style="61"/>
    <col min="3105" max="3108" width="0" style="61" hidden="1" customWidth="1"/>
    <col min="3109" max="3328" width="7.69921875" style="61"/>
    <col min="3329" max="3329" width="1.796875" style="61" customWidth="1"/>
    <col min="3330" max="3330" width="8.296875" style="61" customWidth="1"/>
    <col min="3331" max="3337" width="3.19921875" style="61" customWidth="1"/>
    <col min="3338" max="3338" width="4.296875" style="61" customWidth="1"/>
    <col min="3339" max="3347" width="4.69921875" style="61" customWidth="1"/>
    <col min="3348" max="3348" width="3" style="61" customWidth="1"/>
    <col min="3349" max="3349" width="13.69921875" style="61" customWidth="1"/>
    <col min="3350" max="3350" width="26.69921875" style="61" customWidth="1"/>
    <col min="3351" max="3354" width="13.69921875" style="61" customWidth="1"/>
    <col min="3355" max="3360" width="7.69921875" style="61"/>
    <col min="3361" max="3364" width="0" style="61" hidden="1" customWidth="1"/>
    <col min="3365" max="3584" width="7.69921875" style="61"/>
    <col min="3585" max="3585" width="1.796875" style="61" customWidth="1"/>
    <col min="3586" max="3586" width="8.296875" style="61" customWidth="1"/>
    <col min="3587" max="3593" width="3.19921875" style="61" customWidth="1"/>
    <col min="3594" max="3594" width="4.296875" style="61" customWidth="1"/>
    <col min="3595" max="3603" width="4.69921875" style="61" customWidth="1"/>
    <col min="3604" max="3604" width="3" style="61" customWidth="1"/>
    <col min="3605" max="3605" width="13.69921875" style="61" customWidth="1"/>
    <col min="3606" max="3606" width="26.69921875" style="61" customWidth="1"/>
    <col min="3607" max="3610" width="13.69921875" style="61" customWidth="1"/>
    <col min="3611" max="3616" width="7.69921875" style="61"/>
    <col min="3617" max="3620" width="0" style="61" hidden="1" customWidth="1"/>
    <col min="3621" max="3840" width="7.69921875" style="61"/>
    <col min="3841" max="3841" width="1.796875" style="61" customWidth="1"/>
    <col min="3842" max="3842" width="8.296875" style="61" customWidth="1"/>
    <col min="3843" max="3849" width="3.19921875" style="61" customWidth="1"/>
    <col min="3850" max="3850" width="4.296875" style="61" customWidth="1"/>
    <col min="3851" max="3859" width="4.69921875" style="61" customWidth="1"/>
    <col min="3860" max="3860" width="3" style="61" customWidth="1"/>
    <col min="3861" max="3861" width="13.69921875" style="61" customWidth="1"/>
    <col min="3862" max="3862" width="26.69921875" style="61" customWidth="1"/>
    <col min="3863" max="3866" width="13.69921875" style="61" customWidth="1"/>
    <col min="3867" max="3872" width="7.69921875" style="61"/>
    <col min="3873" max="3876" width="0" style="61" hidden="1" customWidth="1"/>
    <col min="3877" max="4096" width="7.69921875" style="61"/>
    <col min="4097" max="4097" width="1.796875" style="61" customWidth="1"/>
    <col min="4098" max="4098" width="8.296875" style="61" customWidth="1"/>
    <col min="4099" max="4105" width="3.19921875" style="61" customWidth="1"/>
    <col min="4106" max="4106" width="4.296875" style="61" customWidth="1"/>
    <col min="4107" max="4115" width="4.69921875" style="61" customWidth="1"/>
    <col min="4116" max="4116" width="3" style="61" customWidth="1"/>
    <col min="4117" max="4117" width="13.69921875" style="61" customWidth="1"/>
    <col min="4118" max="4118" width="26.69921875" style="61" customWidth="1"/>
    <col min="4119" max="4122" width="13.69921875" style="61" customWidth="1"/>
    <col min="4123" max="4128" width="7.69921875" style="61"/>
    <col min="4129" max="4132" width="0" style="61" hidden="1" customWidth="1"/>
    <col min="4133" max="4352" width="7.69921875" style="61"/>
    <col min="4353" max="4353" width="1.796875" style="61" customWidth="1"/>
    <col min="4354" max="4354" width="8.296875" style="61" customWidth="1"/>
    <col min="4355" max="4361" width="3.19921875" style="61" customWidth="1"/>
    <col min="4362" max="4362" width="4.296875" style="61" customWidth="1"/>
    <col min="4363" max="4371" width="4.69921875" style="61" customWidth="1"/>
    <col min="4372" max="4372" width="3" style="61" customWidth="1"/>
    <col min="4373" max="4373" width="13.69921875" style="61" customWidth="1"/>
    <col min="4374" max="4374" width="26.69921875" style="61" customWidth="1"/>
    <col min="4375" max="4378" width="13.69921875" style="61" customWidth="1"/>
    <col min="4379" max="4384" width="7.69921875" style="61"/>
    <col min="4385" max="4388" width="0" style="61" hidden="1" customWidth="1"/>
    <col min="4389" max="4608" width="7.69921875" style="61"/>
    <col min="4609" max="4609" width="1.796875" style="61" customWidth="1"/>
    <col min="4610" max="4610" width="8.296875" style="61" customWidth="1"/>
    <col min="4611" max="4617" width="3.19921875" style="61" customWidth="1"/>
    <col min="4618" max="4618" width="4.296875" style="61" customWidth="1"/>
    <col min="4619" max="4627" width="4.69921875" style="61" customWidth="1"/>
    <col min="4628" max="4628" width="3" style="61" customWidth="1"/>
    <col min="4629" max="4629" width="13.69921875" style="61" customWidth="1"/>
    <col min="4630" max="4630" width="26.69921875" style="61" customWidth="1"/>
    <col min="4631" max="4634" width="13.69921875" style="61" customWidth="1"/>
    <col min="4635" max="4640" width="7.69921875" style="61"/>
    <col min="4641" max="4644" width="0" style="61" hidden="1" customWidth="1"/>
    <col min="4645" max="4864" width="7.69921875" style="61"/>
    <col min="4865" max="4865" width="1.796875" style="61" customWidth="1"/>
    <col min="4866" max="4866" width="8.296875" style="61" customWidth="1"/>
    <col min="4867" max="4873" width="3.19921875" style="61" customWidth="1"/>
    <col min="4874" max="4874" width="4.296875" style="61" customWidth="1"/>
    <col min="4875" max="4883" width="4.69921875" style="61" customWidth="1"/>
    <col min="4884" max="4884" width="3" style="61" customWidth="1"/>
    <col min="4885" max="4885" width="13.69921875" style="61" customWidth="1"/>
    <col min="4886" max="4886" width="26.69921875" style="61" customWidth="1"/>
    <col min="4887" max="4890" width="13.69921875" style="61" customWidth="1"/>
    <col min="4891" max="4896" width="7.69921875" style="61"/>
    <col min="4897" max="4900" width="0" style="61" hidden="1" customWidth="1"/>
    <col min="4901" max="5120" width="7.69921875" style="61"/>
    <col min="5121" max="5121" width="1.796875" style="61" customWidth="1"/>
    <col min="5122" max="5122" width="8.296875" style="61" customWidth="1"/>
    <col min="5123" max="5129" width="3.19921875" style="61" customWidth="1"/>
    <col min="5130" max="5130" width="4.296875" style="61" customWidth="1"/>
    <col min="5131" max="5139" width="4.69921875" style="61" customWidth="1"/>
    <col min="5140" max="5140" width="3" style="61" customWidth="1"/>
    <col min="5141" max="5141" width="13.69921875" style="61" customWidth="1"/>
    <col min="5142" max="5142" width="26.69921875" style="61" customWidth="1"/>
    <col min="5143" max="5146" width="13.69921875" style="61" customWidth="1"/>
    <col min="5147" max="5152" width="7.69921875" style="61"/>
    <col min="5153" max="5156" width="0" style="61" hidden="1" customWidth="1"/>
    <col min="5157" max="5376" width="7.69921875" style="61"/>
    <col min="5377" max="5377" width="1.796875" style="61" customWidth="1"/>
    <col min="5378" max="5378" width="8.296875" style="61" customWidth="1"/>
    <col min="5379" max="5385" width="3.19921875" style="61" customWidth="1"/>
    <col min="5386" max="5386" width="4.296875" style="61" customWidth="1"/>
    <col min="5387" max="5395" width="4.69921875" style="61" customWidth="1"/>
    <col min="5396" max="5396" width="3" style="61" customWidth="1"/>
    <col min="5397" max="5397" width="13.69921875" style="61" customWidth="1"/>
    <col min="5398" max="5398" width="26.69921875" style="61" customWidth="1"/>
    <col min="5399" max="5402" width="13.69921875" style="61" customWidth="1"/>
    <col min="5403" max="5408" width="7.69921875" style="61"/>
    <col min="5409" max="5412" width="0" style="61" hidden="1" customWidth="1"/>
    <col min="5413" max="5632" width="7.69921875" style="61"/>
    <col min="5633" max="5633" width="1.796875" style="61" customWidth="1"/>
    <col min="5634" max="5634" width="8.296875" style="61" customWidth="1"/>
    <col min="5635" max="5641" width="3.19921875" style="61" customWidth="1"/>
    <col min="5642" max="5642" width="4.296875" style="61" customWidth="1"/>
    <col min="5643" max="5651" width="4.69921875" style="61" customWidth="1"/>
    <col min="5652" max="5652" width="3" style="61" customWidth="1"/>
    <col min="5653" max="5653" width="13.69921875" style="61" customWidth="1"/>
    <col min="5654" max="5654" width="26.69921875" style="61" customWidth="1"/>
    <col min="5655" max="5658" width="13.69921875" style="61" customWidth="1"/>
    <col min="5659" max="5664" width="7.69921875" style="61"/>
    <col min="5665" max="5668" width="0" style="61" hidden="1" customWidth="1"/>
    <col min="5669" max="5888" width="7.69921875" style="61"/>
    <col min="5889" max="5889" width="1.796875" style="61" customWidth="1"/>
    <col min="5890" max="5890" width="8.296875" style="61" customWidth="1"/>
    <col min="5891" max="5897" width="3.19921875" style="61" customWidth="1"/>
    <col min="5898" max="5898" width="4.296875" style="61" customWidth="1"/>
    <col min="5899" max="5907" width="4.69921875" style="61" customWidth="1"/>
    <col min="5908" max="5908" width="3" style="61" customWidth="1"/>
    <col min="5909" max="5909" width="13.69921875" style="61" customWidth="1"/>
    <col min="5910" max="5910" width="26.69921875" style="61" customWidth="1"/>
    <col min="5911" max="5914" width="13.69921875" style="61" customWidth="1"/>
    <col min="5915" max="5920" width="7.69921875" style="61"/>
    <col min="5921" max="5924" width="0" style="61" hidden="1" customWidth="1"/>
    <col min="5925" max="6144" width="7.69921875" style="61"/>
    <col min="6145" max="6145" width="1.796875" style="61" customWidth="1"/>
    <col min="6146" max="6146" width="8.296875" style="61" customWidth="1"/>
    <col min="6147" max="6153" width="3.19921875" style="61" customWidth="1"/>
    <col min="6154" max="6154" width="4.296875" style="61" customWidth="1"/>
    <col min="6155" max="6163" width="4.69921875" style="61" customWidth="1"/>
    <col min="6164" max="6164" width="3" style="61" customWidth="1"/>
    <col min="6165" max="6165" width="13.69921875" style="61" customWidth="1"/>
    <col min="6166" max="6166" width="26.69921875" style="61" customWidth="1"/>
    <col min="6167" max="6170" width="13.69921875" style="61" customWidth="1"/>
    <col min="6171" max="6176" width="7.69921875" style="61"/>
    <col min="6177" max="6180" width="0" style="61" hidden="1" customWidth="1"/>
    <col min="6181" max="6400" width="7.69921875" style="61"/>
    <col min="6401" max="6401" width="1.796875" style="61" customWidth="1"/>
    <col min="6402" max="6402" width="8.296875" style="61" customWidth="1"/>
    <col min="6403" max="6409" width="3.19921875" style="61" customWidth="1"/>
    <col min="6410" max="6410" width="4.296875" style="61" customWidth="1"/>
    <col min="6411" max="6419" width="4.69921875" style="61" customWidth="1"/>
    <col min="6420" max="6420" width="3" style="61" customWidth="1"/>
    <col min="6421" max="6421" width="13.69921875" style="61" customWidth="1"/>
    <col min="6422" max="6422" width="26.69921875" style="61" customWidth="1"/>
    <col min="6423" max="6426" width="13.69921875" style="61" customWidth="1"/>
    <col min="6427" max="6432" width="7.69921875" style="61"/>
    <col min="6433" max="6436" width="0" style="61" hidden="1" customWidth="1"/>
    <col min="6437" max="6656" width="7.69921875" style="61"/>
    <col min="6657" max="6657" width="1.796875" style="61" customWidth="1"/>
    <col min="6658" max="6658" width="8.296875" style="61" customWidth="1"/>
    <col min="6659" max="6665" width="3.19921875" style="61" customWidth="1"/>
    <col min="6666" max="6666" width="4.296875" style="61" customWidth="1"/>
    <col min="6667" max="6675" width="4.69921875" style="61" customWidth="1"/>
    <col min="6676" max="6676" width="3" style="61" customWidth="1"/>
    <col min="6677" max="6677" width="13.69921875" style="61" customWidth="1"/>
    <col min="6678" max="6678" width="26.69921875" style="61" customWidth="1"/>
    <col min="6679" max="6682" width="13.69921875" style="61" customWidth="1"/>
    <col min="6683" max="6688" width="7.69921875" style="61"/>
    <col min="6689" max="6692" width="0" style="61" hidden="1" customWidth="1"/>
    <col min="6693" max="6912" width="7.69921875" style="61"/>
    <col min="6913" max="6913" width="1.796875" style="61" customWidth="1"/>
    <col min="6914" max="6914" width="8.296875" style="61" customWidth="1"/>
    <col min="6915" max="6921" width="3.19921875" style="61" customWidth="1"/>
    <col min="6922" max="6922" width="4.296875" style="61" customWidth="1"/>
    <col min="6923" max="6931" width="4.69921875" style="61" customWidth="1"/>
    <col min="6932" max="6932" width="3" style="61" customWidth="1"/>
    <col min="6933" max="6933" width="13.69921875" style="61" customWidth="1"/>
    <col min="6934" max="6934" width="26.69921875" style="61" customWidth="1"/>
    <col min="6935" max="6938" width="13.69921875" style="61" customWidth="1"/>
    <col min="6939" max="6944" width="7.69921875" style="61"/>
    <col min="6945" max="6948" width="0" style="61" hidden="1" customWidth="1"/>
    <col min="6949" max="7168" width="7.69921875" style="61"/>
    <col min="7169" max="7169" width="1.796875" style="61" customWidth="1"/>
    <col min="7170" max="7170" width="8.296875" style="61" customWidth="1"/>
    <col min="7171" max="7177" width="3.19921875" style="61" customWidth="1"/>
    <col min="7178" max="7178" width="4.296875" style="61" customWidth="1"/>
    <col min="7179" max="7187" width="4.69921875" style="61" customWidth="1"/>
    <col min="7188" max="7188" width="3" style="61" customWidth="1"/>
    <col min="7189" max="7189" width="13.69921875" style="61" customWidth="1"/>
    <col min="7190" max="7190" width="26.69921875" style="61" customWidth="1"/>
    <col min="7191" max="7194" width="13.69921875" style="61" customWidth="1"/>
    <col min="7195" max="7200" width="7.69921875" style="61"/>
    <col min="7201" max="7204" width="0" style="61" hidden="1" customWidth="1"/>
    <col min="7205" max="7424" width="7.69921875" style="61"/>
    <col min="7425" max="7425" width="1.796875" style="61" customWidth="1"/>
    <col min="7426" max="7426" width="8.296875" style="61" customWidth="1"/>
    <col min="7427" max="7433" width="3.19921875" style="61" customWidth="1"/>
    <col min="7434" max="7434" width="4.296875" style="61" customWidth="1"/>
    <col min="7435" max="7443" width="4.69921875" style="61" customWidth="1"/>
    <col min="7444" max="7444" width="3" style="61" customWidth="1"/>
    <col min="7445" max="7445" width="13.69921875" style="61" customWidth="1"/>
    <col min="7446" max="7446" width="26.69921875" style="61" customWidth="1"/>
    <col min="7447" max="7450" width="13.69921875" style="61" customWidth="1"/>
    <col min="7451" max="7456" width="7.69921875" style="61"/>
    <col min="7457" max="7460" width="0" style="61" hidden="1" customWidth="1"/>
    <col min="7461" max="7680" width="7.69921875" style="61"/>
    <col min="7681" max="7681" width="1.796875" style="61" customWidth="1"/>
    <col min="7682" max="7682" width="8.296875" style="61" customWidth="1"/>
    <col min="7683" max="7689" width="3.19921875" style="61" customWidth="1"/>
    <col min="7690" max="7690" width="4.296875" style="61" customWidth="1"/>
    <col min="7691" max="7699" width="4.69921875" style="61" customWidth="1"/>
    <col min="7700" max="7700" width="3" style="61" customWidth="1"/>
    <col min="7701" max="7701" width="13.69921875" style="61" customWidth="1"/>
    <col min="7702" max="7702" width="26.69921875" style="61" customWidth="1"/>
    <col min="7703" max="7706" width="13.69921875" style="61" customWidth="1"/>
    <col min="7707" max="7712" width="7.69921875" style="61"/>
    <col min="7713" max="7716" width="0" style="61" hidden="1" customWidth="1"/>
    <col min="7717" max="7936" width="7.69921875" style="61"/>
    <col min="7937" max="7937" width="1.796875" style="61" customWidth="1"/>
    <col min="7938" max="7938" width="8.296875" style="61" customWidth="1"/>
    <col min="7939" max="7945" width="3.19921875" style="61" customWidth="1"/>
    <col min="7946" max="7946" width="4.296875" style="61" customWidth="1"/>
    <col min="7947" max="7955" width="4.69921875" style="61" customWidth="1"/>
    <col min="7956" max="7956" width="3" style="61" customWidth="1"/>
    <col min="7957" max="7957" width="13.69921875" style="61" customWidth="1"/>
    <col min="7958" max="7958" width="26.69921875" style="61" customWidth="1"/>
    <col min="7959" max="7962" width="13.69921875" style="61" customWidth="1"/>
    <col min="7963" max="7968" width="7.69921875" style="61"/>
    <col min="7969" max="7972" width="0" style="61" hidden="1" customWidth="1"/>
    <col min="7973" max="8192" width="7.69921875" style="61"/>
    <col min="8193" max="8193" width="1.796875" style="61" customWidth="1"/>
    <col min="8194" max="8194" width="8.296875" style="61" customWidth="1"/>
    <col min="8195" max="8201" width="3.19921875" style="61" customWidth="1"/>
    <col min="8202" max="8202" width="4.296875" style="61" customWidth="1"/>
    <col min="8203" max="8211" width="4.69921875" style="61" customWidth="1"/>
    <col min="8212" max="8212" width="3" style="61" customWidth="1"/>
    <col min="8213" max="8213" width="13.69921875" style="61" customWidth="1"/>
    <col min="8214" max="8214" width="26.69921875" style="61" customWidth="1"/>
    <col min="8215" max="8218" width="13.69921875" style="61" customWidth="1"/>
    <col min="8219" max="8224" width="7.69921875" style="61"/>
    <col min="8225" max="8228" width="0" style="61" hidden="1" customWidth="1"/>
    <col min="8229" max="8448" width="7.69921875" style="61"/>
    <col min="8449" max="8449" width="1.796875" style="61" customWidth="1"/>
    <col min="8450" max="8450" width="8.296875" style="61" customWidth="1"/>
    <col min="8451" max="8457" width="3.19921875" style="61" customWidth="1"/>
    <col min="8458" max="8458" width="4.296875" style="61" customWidth="1"/>
    <col min="8459" max="8467" width="4.69921875" style="61" customWidth="1"/>
    <col min="8468" max="8468" width="3" style="61" customWidth="1"/>
    <col min="8469" max="8469" width="13.69921875" style="61" customWidth="1"/>
    <col min="8470" max="8470" width="26.69921875" style="61" customWidth="1"/>
    <col min="8471" max="8474" width="13.69921875" style="61" customWidth="1"/>
    <col min="8475" max="8480" width="7.69921875" style="61"/>
    <col min="8481" max="8484" width="0" style="61" hidden="1" customWidth="1"/>
    <col min="8485" max="8704" width="7.69921875" style="61"/>
    <col min="8705" max="8705" width="1.796875" style="61" customWidth="1"/>
    <col min="8706" max="8706" width="8.296875" style="61" customWidth="1"/>
    <col min="8707" max="8713" width="3.19921875" style="61" customWidth="1"/>
    <col min="8714" max="8714" width="4.296875" style="61" customWidth="1"/>
    <col min="8715" max="8723" width="4.69921875" style="61" customWidth="1"/>
    <col min="8724" max="8724" width="3" style="61" customWidth="1"/>
    <col min="8725" max="8725" width="13.69921875" style="61" customWidth="1"/>
    <col min="8726" max="8726" width="26.69921875" style="61" customWidth="1"/>
    <col min="8727" max="8730" width="13.69921875" style="61" customWidth="1"/>
    <col min="8731" max="8736" width="7.69921875" style="61"/>
    <col min="8737" max="8740" width="0" style="61" hidden="1" customWidth="1"/>
    <col min="8741" max="8960" width="7.69921875" style="61"/>
    <col min="8961" max="8961" width="1.796875" style="61" customWidth="1"/>
    <col min="8962" max="8962" width="8.296875" style="61" customWidth="1"/>
    <col min="8963" max="8969" width="3.19921875" style="61" customWidth="1"/>
    <col min="8970" max="8970" width="4.296875" style="61" customWidth="1"/>
    <col min="8971" max="8979" width="4.69921875" style="61" customWidth="1"/>
    <col min="8980" max="8980" width="3" style="61" customWidth="1"/>
    <col min="8981" max="8981" width="13.69921875" style="61" customWidth="1"/>
    <col min="8982" max="8982" width="26.69921875" style="61" customWidth="1"/>
    <col min="8983" max="8986" width="13.69921875" style="61" customWidth="1"/>
    <col min="8987" max="8992" width="7.69921875" style="61"/>
    <col min="8993" max="8996" width="0" style="61" hidden="1" customWidth="1"/>
    <col min="8997" max="9216" width="7.69921875" style="61"/>
    <col min="9217" max="9217" width="1.796875" style="61" customWidth="1"/>
    <col min="9218" max="9218" width="8.296875" style="61" customWidth="1"/>
    <col min="9219" max="9225" width="3.19921875" style="61" customWidth="1"/>
    <col min="9226" max="9226" width="4.296875" style="61" customWidth="1"/>
    <col min="9227" max="9235" width="4.69921875" style="61" customWidth="1"/>
    <col min="9236" max="9236" width="3" style="61" customWidth="1"/>
    <col min="9237" max="9237" width="13.69921875" style="61" customWidth="1"/>
    <col min="9238" max="9238" width="26.69921875" style="61" customWidth="1"/>
    <col min="9239" max="9242" width="13.69921875" style="61" customWidth="1"/>
    <col min="9243" max="9248" width="7.69921875" style="61"/>
    <col min="9249" max="9252" width="0" style="61" hidden="1" customWidth="1"/>
    <col min="9253" max="9472" width="7.69921875" style="61"/>
    <col min="9473" max="9473" width="1.796875" style="61" customWidth="1"/>
    <col min="9474" max="9474" width="8.296875" style="61" customWidth="1"/>
    <col min="9475" max="9481" width="3.19921875" style="61" customWidth="1"/>
    <col min="9482" max="9482" width="4.296875" style="61" customWidth="1"/>
    <col min="9483" max="9491" width="4.69921875" style="61" customWidth="1"/>
    <col min="9492" max="9492" width="3" style="61" customWidth="1"/>
    <col min="9493" max="9493" width="13.69921875" style="61" customWidth="1"/>
    <col min="9494" max="9494" width="26.69921875" style="61" customWidth="1"/>
    <col min="9495" max="9498" width="13.69921875" style="61" customWidth="1"/>
    <col min="9499" max="9504" width="7.69921875" style="61"/>
    <col min="9505" max="9508" width="0" style="61" hidden="1" customWidth="1"/>
    <col min="9509" max="9728" width="7.69921875" style="61"/>
    <col min="9729" max="9729" width="1.796875" style="61" customWidth="1"/>
    <col min="9730" max="9730" width="8.296875" style="61" customWidth="1"/>
    <col min="9731" max="9737" width="3.19921875" style="61" customWidth="1"/>
    <col min="9738" max="9738" width="4.296875" style="61" customWidth="1"/>
    <col min="9739" max="9747" width="4.69921875" style="61" customWidth="1"/>
    <col min="9748" max="9748" width="3" style="61" customWidth="1"/>
    <col min="9749" max="9749" width="13.69921875" style="61" customWidth="1"/>
    <col min="9750" max="9750" width="26.69921875" style="61" customWidth="1"/>
    <col min="9751" max="9754" width="13.69921875" style="61" customWidth="1"/>
    <col min="9755" max="9760" width="7.69921875" style="61"/>
    <col min="9761" max="9764" width="0" style="61" hidden="1" customWidth="1"/>
    <col min="9765" max="9984" width="7.69921875" style="61"/>
    <col min="9985" max="9985" width="1.796875" style="61" customWidth="1"/>
    <col min="9986" max="9986" width="8.296875" style="61" customWidth="1"/>
    <col min="9987" max="9993" width="3.19921875" style="61" customWidth="1"/>
    <col min="9994" max="9994" width="4.296875" style="61" customWidth="1"/>
    <col min="9995" max="10003" width="4.69921875" style="61" customWidth="1"/>
    <col min="10004" max="10004" width="3" style="61" customWidth="1"/>
    <col min="10005" max="10005" width="13.69921875" style="61" customWidth="1"/>
    <col min="10006" max="10006" width="26.69921875" style="61" customWidth="1"/>
    <col min="10007" max="10010" width="13.69921875" style="61" customWidth="1"/>
    <col min="10011" max="10016" width="7.69921875" style="61"/>
    <col min="10017" max="10020" width="0" style="61" hidden="1" customWidth="1"/>
    <col min="10021" max="10240" width="7.69921875" style="61"/>
    <col min="10241" max="10241" width="1.796875" style="61" customWidth="1"/>
    <col min="10242" max="10242" width="8.296875" style="61" customWidth="1"/>
    <col min="10243" max="10249" width="3.19921875" style="61" customWidth="1"/>
    <col min="10250" max="10250" width="4.296875" style="61" customWidth="1"/>
    <col min="10251" max="10259" width="4.69921875" style="61" customWidth="1"/>
    <col min="10260" max="10260" width="3" style="61" customWidth="1"/>
    <col min="10261" max="10261" width="13.69921875" style="61" customWidth="1"/>
    <col min="10262" max="10262" width="26.69921875" style="61" customWidth="1"/>
    <col min="10263" max="10266" width="13.69921875" style="61" customWidth="1"/>
    <col min="10267" max="10272" width="7.69921875" style="61"/>
    <col min="10273" max="10276" width="0" style="61" hidden="1" customWidth="1"/>
    <col min="10277" max="10496" width="7.69921875" style="61"/>
    <col min="10497" max="10497" width="1.796875" style="61" customWidth="1"/>
    <col min="10498" max="10498" width="8.296875" style="61" customWidth="1"/>
    <col min="10499" max="10505" width="3.19921875" style="61" customWidth="1"/>
    <col min="10506" max="10506" width="4.296875" style="61" customWidth="1"/>
    <col min="10507" max="10515" width="4.69921875" style="61" customWidth="1"/>
    <col min="10516" max="10516" width="3" style="61" customWidth="1"/>
    <col min="10517" max="10517" width="13.69921875" style="61" customWidth="1"/>
    <col min="10518" max="10518" width="26.69921875" style="61" customWidth="1"/>
    <col min="10519" max="10522" width="13.69921875" style="61" customWidth="1"/>
    <col min="10523" max="10528" width="7.69921875" style="61"/>
    <col min="10529" max="10532" width="0" style="61" hidden="1" customWidth="1"/>
    <col min="10533" max="10752" width="7.69921875" style="61"/>
    <col min="10753" max="10753" width="1.796875" style="61" customWidth="1"/>
    <col min="10754" max="10754" width="8.296875" style="61" customWidth="1"/>
    <col min="10755" max="10761" width="3.19921875" style="61" customWidth="1"/>
    <col min="10762" max="10762" width="4.296875" style="61" customWidth="1"/>
    <col min="10763" max="10771" width="4.69921875" style="61" customWidth="1"/>
    <col min="10772" max="10772" width="3" style="61" customWidth="1"/>
    <col min="10773" max="10773" width="13.69921875" style="61" customWidth="1"/>
    <col min="10774" max="10774" width="26.69921875" style="61" customWidth="1"/>
    <col min="10775" max="10778" width="13.69921875" style="61" customWidth="1"/>
    <col min="10779" max="10784" width="7.69921875" style="61"/>
    <col min="10785" max="10788" width="0" style="61" hidden="1" customWidth="1"/>
    <col min="10789" max="11008" width="7.69921875" style="61"/>
    <col min="11009" max="11009" width="1.796875" style="61" customWidth="1"/>
    <col min="11010" max="11010" width="8.296875" style="61" customWidth="1"/>
    <col min="11011" max="11017" width="3.19921875" style="61" customWidth="1"/>
    <col min="11018" max="11018" width="4.296875" style="61" customWidth="1"/>
    <col min="11019" max="11027" width="4.69921875" style="61" customWidth="1"/>
    <col min="11028" max="11028" width="3" style="61" customWidth="1"/>
    <col min="11029" max="11029" width="13.69921875" style="61" customWidth="1"/>
    <col min="11030" max="11030" width="26.69921875" style="61" customWidth="1"/>
    <col min="11031" max="11034" width="13.69921875" style="61" customWidth="1"/>
    <col min="11035" max="11040" width="7.69921875" style="61"/>
    <col min="11041" max="11044" width="0" style="61" hidden="1" customWidth="1"/>
    <col min="11045" max="11264" width="7.69921875" style="61"/>
    <col min="11265" max="11265" width="1.796875" style="61" customWidth="1"/>
    <col min="11266" max="11266" width="8.296875" style="61" customWidth="1"/>
    <col min="11267" max="11273" width="3.19921875" style="61" customWidth="1"/>
    <col min="11274" max="11274" width="4.296875" style="61" customWidth="1"/>
    <col min="11275" max="11283" width="4.69921875" style="61" customWidth="1"/>
    <col min="11284" max="11284" width="3" style="61" customWidth="1"/>
    <col min="11285" max="11285" width="13.69921875" style="61" customWidth="1"/>
    <col min="11286" max="11286" width="26.69921875" style="61" customWidth="1"/>
    <col min="11287" max="11290" width="13.69921875" style="61" customWidth="1"/>
    <col min="11291" max="11296" width="7.69921875" style="61"/>
    <col min="11297" max="11300" width="0" style="61" hidden="1" customWidth="1"/>
    <col min="11301" max="11520" width="7.69921875" style="61"/>
    <col min="11521" max="11521" width="1.796875" style="61" customWidth="1"/>
    <col min="11522" max="11522" width="8.296875" style="61" customWidth="1"/>
    <col min="11523" max="11529" width="3.19921875" style="61" customWidth="1"/>
    <col min="11530" max="11530" width="4.296875" style="61" customWidth="1"/>
    <col min="11531" max="11539" width="4.69921875" style="61" customWidth="1"/>
    <col min="11540" max="11540" width="3" style="61" customWidth="1"/>
    <col min="11541" max="11541" width="13.69921875" style="61" customWidth="1"/>
    <col min="11542" max="11542" width="26.69921875" style="61" customWidth="1"/>
    <col min="11543" max="11546" width="13.69921875" style="61" customWidth="1"/>
    <col min="11547" max="11552" width="7.69921875" style="61"/>
    <col min="11553" max="11556" width="0" style="61" hidden="1" customWidth="1"/>
    <col min="11557" max="11776" width="7.69921875" style="61"/>
    <col min="11777" max="11777" width="1.796875" style="61" customWidth="1"/>
    <col min="11778" max="11778" width="8.296875" style="61" customWidth="1"/>
    <col min="11779" max="11785" width="3.19921875" style="61" customWidth="1"/>
    <col min="11786" max="11786" width="4.296875" style="61" customWidth="1"/>
    <col min="11787" max="11795" width="4.69921875" style="61" customWidth="1"/>
    <col min="11796" max="11796" width="3" style="61" customWidth="1"/>
    <col min="11797" max="11797" width="13.69921875" style="61" customWidth="1"/>
    <col min="11798" max="11798" width="26.69921875" style="61" customWidth="1"/>
    <col min="11799" max="11802" width="13.69921875" style="61" customWidth="1"/>
    <col min="11803" max="11808" width="7.69921875" style="61"/>
    <col min="11809" max="11812" width="0" style="61" hidden="1" customWidth="1"/>
    <col min="11813" max="12032" width="7.69921875" style="61"/>
    <col min="12033" max="12033" width="1.796875" style="61" customWidth="1"/>
    <col min="12034" max="12034" width="8.296875" style="61" customWidth="1"/>
    <col min="12035" max="12041" width="3.19921875" style="61" customWidth="1"/>
    <col min="12042" max="12042" width="4.296875" style="61" customWidth="1"/>
    <col min="12043" max="12051" width="4.69921875" style="61" customWidth="1"/>
    <col min="12052" max="12052" width="3" style="61" customWidth="1"/>
    <col min="12053" max="12053" width="13.69921875" style="61" customWidth="1"/>
    <col min="12054" max="12054" width="26.69921875" style="61" customWidth="1"/>
    <col min="12055" max="12058" width="13.69921875" style="61" customWidth="1"/>
    <col min="12059" max="12064" width="7.69921875" style="61"/>
    <col min="12065" max="12068" width="0" style="61" hidden="1" customWidth="1"/>
    <col min="12069" max="12288" width="7.69921875" style="61"/>
    <col min="12289" max="12289" width="1.796875" style="61" customWidth="1"/>
    <col min="12290" max="12290" width="8.296875" style="61" customWidth="1"/>
    <col min="12291" max="12297" width="3.19921875" style="61" customWidth="1"/>
    <col min="12298" max="12298" width="4.296875" style="61" customWidth="1"/>
    <col min="12299" max="12307" width="4.69921875" style="61" customWidth="1"/>
    <col min="12308" max="12308" width="3" style="61" customWidth="1"/>
    <col min="12309" max="12309" width="13.69921875" style="61" customWidth="1"/>
    <col min="12310" max="12310" width="26.69921875" style="61" customWidth="1"/>
    <col min="12311" max="12314" width="13.69921875" style="61" customWidth="1"/>
    <col min="12315" max="12320" width="7.69921875" style="61"/>
    <col min="12321" max="12324" width="0" style="61" hidden="1" customWidth="1"/>
    <col min="12325" max="12544" width="7.69921875" style="61"/>
    <col min="12545" max="12545" width="1.796875" style="61" customWidth="1"/>
    <col min="12546" max="12546" width="8.296875" style="61" customWidth="1"/>
    <col min="12547" max="12553" width="3.19921875" style="61" customWidth="1"/>
    <col min="12554" max="12554" width="4.296875" style="61" customWidth="1"/>
    <col min="12555" max="12563" width="4.69921875" style="61" customWidth="1"/>
    <col min="12564" max="12564" width="3" style="61" customWidth="1"/>
    <col min="12565" max="12565" width="13.69921875" style="61" customWidth="1"/>
    <col min="12566" max="12566" width="26.69921875" style="61" customWidth="1"/>
    <col min="12567" max="12570" width="13.69921875" style="61" customWidth="1"/>
    <col min="12571" max="12576" width="7.69921875" style="61"/>
    <col min="12577" max="12580" width="0" style="61" hidden="1" customWidth="1"/>
    <col min="12581" max="12800" width="7.69921875" style="61"/>
    <col min="12801" max="12801" width="1.796875" style="61" customWidth="1"/>
    <col min="12802" max="12802" width="8.296875" style="61" customWidth="1"/>
    <col min="12803" max="12809" width="3.19921875" style="61" customWidth="1"/>
    <col min="12810" max="12810" width="4.296875" style="61" customWidth="1"/>
    <col min="12811" max="12819" width="4.69921875" style="61" customWidth="1"/>
    <col min="12820" max="12820" width="3" style="61" customWidth="1"/>
    <col min="12821" max="12821" width="13.69921875" style="61" customWidth="1"/>
    <col min="12822" max="12822" width="26.69921875" style="61" customWidth="1"/>
    <col min="12823" max="12826" width="13.69921875" style="61" customWidth="1"/>
    <col min="12827" max="12832" width="7.69921875" style="61"/>
    <col min="12833" max="12836" width="0" style="61" hidden="1" customWidth="1"/>
    <col min="12837" max="13056" width="7.69921875" style="61"/>
    <col min="13057" max="13057" width="1.796875" style="61" customWidth="1"/>
    <col min="13058" max="13058" width="8.296875" style="61" customWidth="1"/>
    <col min="13059" max="13065" width="3.19921875" style="61" customWidth="1"/>
    <col min="13066" max="13066" width="4.296875" style="61" customWidth="1"/>
    <col min="13067" max="13075" width="4.69921875" style="61" customWidth="1"/>
    <col min="13076" max="13076" width="3" style="61" customWidth="1"/>
    <col min="13077" max="13077" width="13.69921875" style="61" customWidth="1"/>
    <col min="13078" max="13078" width="26.69921875" style="61" customWidth="1"/>
    <col min="13079" max="13082" width="13.69921875" style="61" customWidth="1"/>
    <col min="13083" max="13088" width="7.69921875" style="61"/>
    <col min="13089" max="13092" width="0" style="61" hidden="1" customWidth="1"/>
    <col min="13093" max="13312" width="7.69921875" style="61"/>
    <col min="13313" max="13313" width="1.796875" style="61" customWidth="1"/>
    <col min="13314" max="13314" width="8.296875" style="61" customWidth="1"/>
    <col min="13315" max="13321" width="3.19921875" style="61" customWidth="1"/>
    <col min="13322" max="13322" width="4.296875" style="61" customWidth="1"/>
    <col min="13323" max="13331" width="4.69921875" style="61" customWidth="1"/>
    <col min="13332" max="13332" width="3" style="61" customWidth="1"/>
    <col min="13333" max="13333" width="13.69921875" style="61" customWidth="1"/>
    <col min="13334" max="13334" width="26.69921875" style="61" customWidth="1"/>
    <col min="13335" max="13338" width="13.69921875" style="61" customWidth="1"/>
    <col min="13339" max="13344" width="7.69921875" style="61"/>
    <col min="13345" max="13348" width="0" style="61" hidden="1" customWidth="1"/>
    <col min="13349" max="13568" width="7.69921875" style="61"/>
    <col min="13569" max="13569" width="1.796875" style="61" customWidth="1"/>
    <col min="13570" max="13570" width="8.296875" style="61" customWidth="1"/>
    <col min="13571" max="13577" width="3.19921875" style="61" customWidth="1"/>
    <col min="13578" max="13578" width="4.296875" style="61" customWidth="1"/>
    <col min="13579" max="13587" width="4.69921875" style="61" customWidth="1"/>
    <col min="13588" max="13588" width="3" style="61" customWidth="1"/>
    <col min="13589" max="13589" width="13.69921875" style="61" customWidth="1"/>
    <col min="13590" max="13590" width="26.69921875" style="61" customWidth="1"/>
    <col min="13591" max="13594" width="13.69921875" style="61" customWidth="1"/>
    <col min="13595" max="13600" width="7.69921875" style="61"/>
    <col min="13601" max="13604" width="0" style="61" hidden="1" customWidth="1"/>
    <col min="13605" max="13824" width="7.69921875" style="61"/>
    <col min="13825" max="13825" width="1.796875" style="61" customWidth="1"/>
    <col min="13826" max="13826" width="8.296875" style="61" customWidth="1"/>
    <col min="13827" max="13833" width="3.19921875" style="61" customWidth="1"/>
    <col min="13834" max="13834" width="4.296875" style="61" customWidth="1"/>
    <col min="13835" max="13843" width="4.69921875" style="61" customWidth="1"/>
    <col min="13844" max="13844" width="3" style="61" customWidth="1"/>
    <col min="13845" max="13845" width="13.69921875" style="61" customWidth="1"/>
    <col min="13846" max="13846" width="26.69921875" style="61" customWidth="1"/>
    <col min="13847" max="13850" width="13.69921875" style="61" customWidth="1"/>
    <col min="13851" max="13856" width="7.69921875" style="61"/>
    <col min="13857" max="13860" width="0" style="61" hidden="1" customWidth="1"/>
    <col min="13861" max="14080" width="7.69921875" style="61"/>
    <col min="14081" max="14081" width="1.796875" style="61" customWidth="1"/>
    <col min="14082" max="14082" width="8.296875" style="61" customWidth="1"/>
    <col min="14083" max="14089" width="3.19921875" style="61" customWidth="1"/>
    <col min="14090" max="14090" width="4.296875" style="61" customWidth="1"/>
    <col min="14091" max="14099" width="4.69921875" style="61" customWidth="1"/>
    <col min="14100" max="14100" width="3" style="61" customWidth="1"/>
    <col min="14101" max="14101" width="13.69921875" style="61" customWidth="1"/>
    <col min="14102" max="14102" width="26.69921875" style="61" customWidth="1"/>
    <col min="14103" max="14106" width="13.69921875" style="61" customWidth="1"/>
    <col min="14107" max="14112" width="7.69921875" style="61"/>
    <col min="14113" max="14116" width="0" style="61" hidden="1" customWidth="1"/>
    <col min="14117" max="14336" width="7.69921875" style="61"/>
    <col min="14337" max="14337" width="1.796875" style="61" customWidth="1"/>
    <col min="14338" max="14338" width="8.296875" style="61" customWidth="1"/>
    <col min="14339" max="14345" width="3.19921875" style="61" customWidth="1"/>
    <col min="14346" max="14346" width="4.296875" style="61" customWidth="1"/>
    <col min="14347" max="14355" width="4.69921875" style="61" customWidth="1"/>
    <col min="14356" max="14356" width="3" style="61" customWidth="1"/>
    <col min="14357" max="14357" width="13.69921875" style="61" customWidth="1"/>
    <col min="14358" max="14358" width="26.69921875" style="61" customWidth="1"/>
    <col min="14359" max="14362" width="13.69921875" style="61" customWidth="1"/>
    <col min="14363" max="14368" width="7.69921875" style="61"/>
    <col min="14369" max="14372" width="0" style="61" hidden="1" customWidth="1"/>
    <col min="14373" max="14592" width="7.69921875" style="61"/>
    <col min="14593" max="14593" width="1.796875" style="61" customWidth="1"/>
    <col min="14594" max="14594" width="8.296875" style="61" customWidth="1"/>
    <col min="14595" max="14601" width="3.19921875" style="61" customWidth="1"/>
    <col min="14602" max="14602" width="4.296875" style="61" customWidth="1"/>
    <col min="14603" max="14611" width="4.69921875" style="61" customWidth="1"/>
    <col min="14612" max="14612" width="3" style="61" customWidth="1"/>
    <col min="14613" max="14613" width="13.69921875" style="61" customWidth="1"/>
    <col min="14614" max="14614" width="26.69921875" style="61" customWidth="1"/>
    <col min="14615" max="14618" width="13.69921875" style="61" customWidth="1"/>
    <col min="14619" max="14624" width="7.69921875" style="61"/>
    <col min="14625" max="14628" width="0" style="61" hidden="1" customWidth="1"/>
    <col min="14629" max="14848" width="7.69921875" style="61"/>
    <col min="14849" max="14849" width="1.796875" style="61" customWidth="1"/>
    <col min="14850" max="14850" width="8.296875" style="61" customWidth="1"/>
    <col min="14851" max="14857" width="3.19921875" style="61" customWidth="1"/>
    <col min="14858" max="14858" width="4.296875" style="61" customWidth="1"/>
    <col min="14859" max="14867" width="4.69921875" style="61" customWidth="1"/>
    <col min="14868" max="14868" width="3" style="61" customWidth="1"/>
    <col min="14869" max="14869" width="13.69921875" style="61" customWidth="1"/>
    <col min="14870" max="14870" width="26.69921875" style="61" customWidth="1"/>
    <col min="14871" max="14874" width="13.69921875" style="61" customWidth="1"/>
    <col min="14875" max="14880" width="7.69921875" style="61"/>
    <col min="14881" max="14884" width="0" style="61" hidden="1" customWidth="1"/>
    <col min="14885" max="15104" width="7.69921875" style="61"/>
    <col min="15105" max="15105" width="1.796875" style="61" customWidth="1"/>
    <col min="15106" max="15106" width="8.296875" style="61" customWidth="1"/>
    <col min="15107" max="15113" width="3.19921875" style="61" customWidth="1"/>
    <col min="15114" max="15114" width="4.296875" style="61" customWidth="1"/>
    <col min="15115" max="15123" width="4.69921875" style="61" customWidth="1"/>
    <col min="15124" max="15124" width="3" style="61" customWidth="1"/>
    <col min="15125" max="15125" width="13.69921875" style="61" customWidth="1"/>
    <col min="15126" max="15126" width="26.69921875" style="61" customWidth="1"/>
    <col min="15127" max="15130" width="13.69921875" style="61" customWidth="1"/>
    <col min="15131" max="15136" width="7.69921875" style="61"/>
    <col min="15137" max="15140" width="0" style="61" hidden="1" customWidth="1"/>
    <col min="15141" max="15360" width="7.69921875" style="61"/>
    <col min="15361" max="15361" width="1.796875" style="61" customWidth="1"/>
    <col min="15362" max="15362" width="8.296875" style="61" customWidth="1"/>
    <col min="15363" max="15369" width="3.19921875" style="61" customWidth="1"/>
    <col min="15370" max="15370" width="4.296875" style="61" customWidth="1"/>
    <col min="15371" max="15379" width="4.69921875" style="61" customWidth="1"/>
    <col min="15380" max="15380" width="3" style="61" customWidth="1"/>
    <col min="15381" max="15381" width="13.69921875" style="61" customWidth="1"/>
    <col min="15382" max="15382" width="26.69921875" style="61" customWidth="1"/>
    <col min="15383" max="15386" width="13.69921875" style="61" customWidth="1"/>
    <col min="15387" max="15392" width="7.69921875" style="61"/>
    <col min="15393" max="15396" width="0" style="61" hidden="1" customWidth="1"/>
    <col min="15397" max="15616" width="7.69921875" style="61"/>
    <col min="15617" max="15617" width="1.796875" style="61" customWidth="1"/>
    <col min="15618" max="15618" width="8.296875" style="61" customWidth="1"/>
    <col min="15619" max="15625" width="3.19921875" style="61" customWidth="1"/>
    <col min="15626" max="15626" width="4.296875" style="61" customWidth="1"/>
    <col min="15627" max="15635" width="4.69921875" style="61" customWidth="1"/>
    <col min="15636" max="15636" width="3" style="61" customWidth="1"/>
    <col min="15637" max="15637" width="13.69921875" style="61" customWidth="1"/>
    <col min="15638" max="15638" width="26.69921875" style="61" customWidth="1"/>
    <col min="15639" max="15642" width="13.69921875" style="61" customWidth="1"/>
    <col min="15643" max="15648" width="7.69921875" style="61"/>
    <col min="15649" max="15652" width="0" style="61" hidden="1" customWidth="1"/>
    <col min="15653" max="15872" width="7.69921875" style="61"/>
    <col min="15873" max="15873" width="1.796875" style="61" customWidth="1"/>
    <col min="15874" max="15874" width="8.296875" style="61" customWidth="1"/>
    <col min="15875" max="15881" width="3.19921875" style="61" customWidth="1"/>
    <col min="15882" max="15882" width="4.296875" style="61" customWidth="1"/>
    <col min="15883" max="15891" width="4.69921875" style="61" customWidth="1"/>
    <col min="15892" max="15892" width="3" style="61" customWidth="1"/>
    <col min="15893" max="15893" width="13.69921875" style="61" customWidth="1"/>
    <col min="15894" max="15894" width="26.69921875" style="61" customWidth="1"/>
    <col min="15895" max="15898" width="13.69921875" style="61" customWidth="1"/>
    <col min="15899" max="15904" width="7.69921875" style="61"/>
    <col min="15905" max="15908" width="0" style="61" hidden="1" customWidth="1"/>
    <col min="15909" max="16128" width="7.69921875" style="61"/>
    <col min="16129" max="16129" width="1.796875" style="61" customWidth="1"/>
    <col min="16130" max="16130" width="8.296875" style="61" customWidth="1"/>
    <col min="16131" max="16137" width="3.19921875" style="61" customWidth="1"/>
    <col min="16138" max="16138" width="4.296875" style="61" customWidth="1"/>
    <col min="16139" max="16147" width="4.69921875" style="61" customWidth="1"/>
    <col min="16148" max="16148" width="3" style="61" customWidth="1"/>
    <col min="16149" max="16149" width="13.69921875" style="61" customWidth="1"/>
    <col min="16150" max="16150" width="26.69921875" style="61" customWidth="1"/>
    <col min="16151" max="16154" width="13.69921875" style="61" customWidth="1"/>
    <col min="16155" max="16160" width="7.69921875" style="61"/>
    <col min="16161" max="16164" width="0" style="61" hidden="1" customWidth="1"/>
    <col min="16165" max="16384" width="7.69921875" style="61"/>
  </cols>
  <sheetData>
    <row r="1" spans="1:36" s="66" customFormat="1" ht="15" customHeight="1">
      <c r="T1" s="184"/>
      <c r="V1" s="65" t="s">
        <v>392</v>
      </c>
    </row>
    <row r="2" spans="1:36" s="74" customFormat="1" ht="15" customHeight="1">
      <c r="A2" s="75" t="s">
        <v>393</v>
      </c>
      <c r="B2" s="65"/>
      <c r="C2" s="65"/>
      <c r="D2" s="65"/>
      <c r="E2" s="65"/>
      <c r="F2" s="65"/>
      <c r="G2" s="65"/>
      <c r="H2" s="65"/>
      <c r="I2" s="65"/>
      <c r="J2" s="65"/>
      <c r="K2" s="65"/>
      <c r="L2" s="65"/>
      <c r="M2" s="65"/>
      <c r="N2" s="65"/>
      <c r="O2" s="65"/>
      <c r="P2" s="65"/>
      <c r="Q2" s="158" t="str">
        <f>'SP11-1'!$L$2</f>
        <v>Spreadsheet released 14-Apr-2023</v>
      </c>
      <c r="R2" s="65"/>
      <c r="S2" s="65"/>
      <c r="T2" s="65"/>
      <c r="V2" s="159" t="s">
        <v>394</v>
      </c>
      <c r="W2" s="65"/>
      <c r="X2" s="65"/>
      <c r="Y2" s="65"/>
    </row>
    <row r="3" spans="1:36" s="66" customFormat="1" ht="15" customHeight="1">
      <c r="A3" s="73" t="s">
        <v>517</v>
      </c>
      <c r="B3" s="65"/>
      <c r="C3" s="65"/>
      <c r="D3" s="65"/>
      <c r="E3" s="65"/>
      <c r="F3" s="65"/>
      <c r="G3" s="65"/>
      <c r="H3" s="65"/>
      <c r="I3" s="65"/>
      <c r="J3" s="65"/>
      <c r="K3" s="65"/>
      <c r="L3" s="65"/>
      <c r="M3" s="65"/>
      <c r="N3" s="65"/>
      <c r="O3" s="65"/>
      <c r="P3" s="65"/>
      <c r="Q3" s="65"/>
      <c r="R3" s="65"/>
      <c r="S3" s="65"/>
      <c r="T3" s="70"/>
      <c r="U3" s="65"/>
      <c r="V3" s="65"/>
      <c r="W3" s="65"/>
      <c r="X3" s="65"/>
      <c r="Y3" s="65"/>
    </row>
    <row r="4" spans="1:36" s="74" customFormat="1" ht="15" customHeight="1">
      <c r="A4" s="75"/>
      <c r="B4" s="685" t="s">
        <v>518</v>
      </c>
      <c r="C4" s="686"/>
      <c r="D4" s="686"/>
      <c r="E4" s="686"/>
      <c r="F4" s="686"/>
      <c r="G4" s="686"/>
      <c r="H4" s="686"/>
      <c r="I4" s="686"/>
      <c r="J4" s="686"/>
      <c r="K4" s="686"/>
      <c r="L4" s="686"/>
      <c r="M4" s="686"/>
      <c r="N4" s="686"/>
      <c r="O4" s="686"/>
      <c r="P4" s="686"/>
      <c r="Q4" s="686"/>
      <c r="R4" s="686"/>
      <c r="S4" s="686"/>
      <c r="T4" s="686"/>
      <c r="U4" s="65"/>
      <c r="V4" s="65"/>
      <c r="W4" s="65"/>
      <c r="X4" s="65"/>
      <c r="Y4" s="65"/>
    </row>
    <row r="5" spans="1:36" s="66" customFormat="1" ht="11.25" customHeight="1">
      <c r="A5" s="70"/>
      <c r="B5" s="65"/>
      <c r="C5" s="65"/>
      <c r="D5" s="65"/>
      <c r="E5" s="65"/>
      <c r="F5" s="65"/>
      <c r="G5" s="65"/>
      <c r="H5" s="65"/>
      <c r="I5" s="65"/>
      <c r="J5" s="65"/>
      <c r="K5" s="65"/>
      <c r="L5" s="65"/>
      <c r="M5" s="65"/>
      <c r="N5" s="65"/>
      <c r="O5" s="65"/>
      <c r="P5" s="65"/>
      <c r="Q5" s="65"/>
      <c r="R5" s="65"/>
      <c r="S5" s="65"/>
      <c r="T5" s="70"/>
      <c r="U5" s="65"/>
      <c r="V5" s="65"/>
      <c r="W5" s="65"/>
      <c r="AG5" s="65" t="s">
        <v>519</v>
      </c>
      <c r="AH5" s="65"/>
    </row>
    <row r="6" spans="1:36" s="66" customFormat="1" ht="3.75" customHeight="1">
      <c r="A6" s="271"/>
      <c r="B6" s="274"/>
      <c r="C6" s="274"/>
      <c r="D6" s="274"/>
      <c r="E6" s="274"/>
      <c r="F6" s="274"/>
      <c r="G6" s="274"/>
      <c r="H6" s="274"/>
      <c r="I6" s="274"/>
      <c r="J6" s="274"/>
      <c r="K6" s="274"/>
      <c r="L6" s="274"/>
      <c r="M6" s="274"/>
      <c r="N6" s="274"/>
      <c r="O6" s="274"/>
      <c r="P6" s="274"/>
      <c r="Q6" s="274"/>
      <c r="R6" s="274"/>
      <c r="S6" s="274"/>
      <c r="T6" s="271"/>
      <c r="U6" s="65"/>
      <c r="V6" s="65"/>
      <c r="W6" s="65"/>
      <c r="AG6" s="65"/>
      <c r="AH6" s="65"/>
    </row>
    <row r="7" spans="1:36" s="66" customFormat="1" ht="19.5" customHeight="1">
      <c r="A7" s="402">
        <v>1</v>
      </c>
      <c r="B7" s="655" t="s">
        <v>520</v>
      </c>
      <c r="C7" s="655"/>
      <c r="D7" s="655"/>
      <c r="E7" s="655"/>
      <c r="F7" s="655"/>
      <c r="G7" s="655"/>
      <c r="H7" s="655"/>
      <c r="I7" s="655"/>
      <c r="J7" s="655"/>
      <c r="K7" s="655"/>
      <c r="L7" s="655"/>
      <c r="M7" s="655"/>
      <c r="N7" s="655"/>
      <c r="O7" s="399"/>
      <c r="P7" s="399"/>
      <c r="Q7" s="399"/>
      <c r="R7" s="399"/>
      <c r="S7" s="399"/>
      <c r="T7" s="271"/>
      <c r="U7" s="65"/>
      <c r="V7" s="65"/>
      <c r="W7" s="65"/>
      <c r="AG7" s="163">
        <v>0.04</v>
      </c>
      <c r="AH7" s="65"/>
      <c r="AI7" s="191">
        <v>0.08</v>
      </c>
    </row>
    <row r="8" spans="1:36" s="66" customFormat="1" ht="19.5" customHeight="1">
      <c r="A8" s="398"/>
      <c r="B8" s="399"/>
      <c r="C8" s="399"/>
      <c r="D8" s="399"/>
      <c r="E8" s="399"/>
      <c r="F8" s="399"/>
      <c r="G8" s="400"/>
      <c r="H8" s="400"/>
      <c r="I8" s="400"/>
      <c r="J8" s="400" t="s">
        <v>267</v>
      </c>
      <c r="K8" s="689"/>
      <c r="L8" s="689"/>
      <c r="M8" s="689"/>
      <c r="N8" s="399" t="s">
        <v>495</v>
      </c>
      <c r="O8" s="399">
        <f>'Tables NEW TABLES'!K281</f>
        <v>0.96150000000000002</v>
      </c>
      <c r="P8" s="400" t="s">
        <v>521</v>
      </c>
      <c r="Q8" s="687">
        <f>K8*O8</f>
        <v>0</v>
      </c>
      <c r="R8" s="687"/>
      <c r="S8" s="687"/>
      <c r="T8" s="273" t="s">
        <v>497</v>
      </c>
      <c r="U8" s="65"/>
      <c r="V8" s="65"/>
      <c r="W8" s="65"/>
      <c r="AG8" s="65">
        <v>0.96</v>
      </c>
      <c r="AH8" s="65">
        <f>$K8*AG8</f>
        <v>0</v>
      </c>
      <c r="AI8" s="66">
        <v>0.92</v>
      </c>
      <c r="AJ8" s="65">
        <f>$K8*AI8</f>
        <v>0</v>
      </c>
    </row>
    <row r="9" spans="1:36" s="186" customFormat="1" ht="4.5" customHeight="1">
      <c r="A9" s="398"/>
      <c r="B9" s="399"/>
      <c r="C9" s="399"/>
      <c r="D9" s="399"/>
      <c r="E9" s="399"/>
      <c r="F9" s="399"/>
      <c r="G9" s="400"/>
      <c r="H9" s="400"/>
      <c r="I9" s="400"/>
      <c r="J9" s="400"/>
      <c r="K9" s="400"/>
      <c r="L9" s="400"/>
      <c r="M9" s="400"/>
      <c r="N9" s="400"/>
      <c r="O9" s="400"/>
      <c r="P9" s="400"/>
      <c r="Q9" s="400"/>
      <c r="R9" s="400"/>
      <c r="S9" s="400"/>
      <c r="T9" s="397"/>
      <c r="U9" s="185"/>
      <c r="V9" s="185"/>
      <c r="W9" s="185"/>
      <c r="AG9" s="185"/>
      <c r="AH9" s="185"/>
    </row>
    <row r="10" spans="1:36" s="193" customFormat="1" ht="4.5" customHeight="1">
      <c r="A10" s="398"/>
      <c r="B10" s="399"/>
      <c r="C10" s="399"/>
      <c r="D10" s="399"/>
      <c r="E10" s="399"/>
      <c r="F10" s="399"/>
      <c r="G10" s="400"/>
      <c r="H10" s="400"/>
      <c r="I10" s="400"/>
      <c r="J10" s="400"/>
      <c r="K10" s="400"/>
      <c r="L10" s="400"/>
      <c r="M10" s="400"/>
      <c r="N10" s="400"/>
      <c r="O10" s="400"/>
      <c r="P10" s="400"/>
      <c r="Q10" s="400"/>
      <c r="R10" s="400"/>
      <c r="S10" s="400"/>
      <c r="T10" s="419"/>
      <c r="U10" s="192"/>
      <c r="V10" s="192"/>
      <c r="W10" s="192"/>
      <c r="AG10" s="192"/>
      <c r="AH10" s="192"/>
    </row>
    <row r="11" spans="1:36" s="66" customFormat="1" ht="19.5" customHeight="1">
      <c r="A11" s="402">
        <v>2</v>
      </c>
      <c r="B11" s="655" t="s">
        <v>522</v>
      </c>
      <c r="C11" s="655"/>
      <c r="D11" s="655"/>
      <c r="E11" s="655"/>
      <c r="F11" s="655"/>
      <c r="G11" s="655"/>
      <c r="H11" s="399"/>
      <c r="I11" s="399"/>
      <c r="J11" s="399"/>
      <c r="K11" s="399"/>
      <c r="L11" s="399"/>
      <c r="M11" s="399"/>
      <c r="N11" s="399"/>
      <c r="O11" s="399"/>
      <c r="P11" s="400" t="s">
        <v>267</v>
      </c>
      <c r="Q11" s="689"/>
      <c r="R11" s="689"/>
      <c r="S11" s="689"/>
      <c r="T11" s="273" t="s">
        <v>508</v>
      </c>
      <c r="U11" s="65"/>
      <c r="V11" s="65"/>
      <c r="W11" s="65"/>
      <c r="AG11" s="65"/>
      <c r="AH11" s="79">
        <f>$Q11</f>
        <v>0</v>
      </c>
      <c r="AJ11" s="79">
        <f>$Q11</f>
        <v>0</v>
      </c>
    </row>
    <row r="12" spans="1:36" s="186" customFormat="1" ht="4.5" customHeight="1">
      <c r="A12" s="398"/>
      <c r="B12" s="399"/>
      <c r="C12" s="399"/>
      <c r="D12" s="399"/>
      <c r="E12" s="399"/>
      <c r="F12" s="399"/>
      <c r="G12" s="400"/>
      <c r="H12" s="400"/>
      <c r="I12" s="400"/>
      <c r="J12" s="400"/>
      <c r="K12" s="400"/>
      <c r="L12" s="400"/>
      <c r="M12" s="400"/>
      <c r="N12" s="400"/>
      <c r="O12" s="400"/>
      <c r="P12" s="400"/>
      <c r="Q12" s="400"/>
      <c r="R12" s="400"/>
      <c r="S12" s="400"/>
      <c r="T12" s="397"/>
      <c r="U12" s="185"/>
      <c r="V12" s="185"/>
      <c r="W12" s="185"/>
      <c r="AG12" s="185"/>
      <c r="AH12" s="185"/>
    </row>
    <row r="13" spans="1:36" s="193" customFormat="1" ht="4.5" customHeight="1">
      <c r="A13" s="398"/>
      <c r="B13" s="399"/>
      <c r="C13" s="399"/>
      <c r="D13" s="399"/>
      <c r="E13" s="399"/>
      <c r="F13" s="399"/>
      <c r="G13" s="400"/>
      <c r="H13" s="400"/>
      <c r="I13" s="400"/>
      <c r="J13" s="400"/>
      <c r="K13" s="400"/>
      <c r="L13" s="400"/>
      <c r="M13" s="400"/>
      <c r="N13" s="400"/>
      <c r="O13" s="400"/>
      <c r="P13" s="400"/>
      <c r="Q13" s="400"/>
      <c r="R13" s="400"/>
      <c r="S13" s="400"/>
      <c r="T13" s="419"/>
      <c r="U13" s="192"/>
      <c r="V13" s="192"/>
      <c r="W13" s="192"/>
      <c r="AG13" s="192"/>
      <c r="AH13" s="192"/>
    </row>
    <row r="14" spans="1:36" s="66" customFormat="1" ht="19.5" customHeight="1">
      <c r="A14" s="402">
        <v>3</v>
      </c>
      <c r="B14" s="655" t="s">
        <v>523</v>
      </c>
      <c r="C14" s="655"/>
      <c r="D14" s="655"/>
      <c r="E14" s="655"/>
      <c r="F14" s="655"/>
      <c r="G14" s="655"/>
      <c r="H14" s="655"/>
      <c r="I14" s="655"/>
      <c r="J14" s="655"/>
      <c r="K14" s="655"/>
      <c r="L14" s="399"/>
      <c r="M14" s="399"/>
      <c r="N14" s="399"/>
      <c r="O14" s="399"/>
      <c r="P14" s="399"/>
      <c r="Q14" s="399"/>
      <c r="R14" s="399"/>
      <c r="S14" s="399"/>
      <c r="T14" s="273"/>
      <c r="U14" s="65"/>
      <c r="V14" s="65"/>
      <c r="W14" s="65"/>
      <c r="AG14" s="65"/>
      <c r="AH14" s="65"/>
    </row>
    <row r="15" spans="1:36" s="66" customFormat="1" ht="19.5" customHeight="1">
      <c r="A15" s="398"/>
      <c r="B15" s="399"/>
      <c r="C15" s="399"/>
      <c r="D15" s="399"/>
      <c r="E15" s="399"/>
      <c r="F15" s="400"/>
      <c r="G15" s="400" t="s">
        <v>935</v>
      </c>
      <c r="H15" s="400">
        <f>'SP11-1'!I28</f>
        <v>0</v>
      </c>
      <c r="I15" s="400" t="s">
        <v>936</v>
      </c>
      <c r="K15" s="689"/>
      <c r="L15" s="689"/>
      <c r="M15" s="689"/>
      <c r="N15" s="399" t="s">
        <v>495</v>
      </c>
      <c r="O15" s="403">
        <f>'Tables NEW TABLES'!K280-'Tables NEW TABLES'!K279</f>
        <v>-0.98064352657801512</v>
      </c>
      <c r="P15" s="400" t="s">
        <v>521</v>
      </c>
      <c r="Q15" s="687">
        <f>K15*O15</f>
        <v>0</v>
      </c>
      <c r="R15" s="687"/>
      <c r="S15" s="687"/>
      <c r="T15" s="273" t="s">
        <v>511</v>
      </c>
      <c r="U15" s="65"/>
      <c r="V15" s="620" t="s">
        <v>983</v>
      </c>
      <c r="W15" s="620"/>
      <c r="X15" s="620"/>
      <c r="Y15" s="620"/>
      <c r="Z15" s="620"/>
      <c r="AG15" s="65">
        <v>19.21</v>
      </c>
      <c r="AH15" s="65">
        <f>$K15*AG15</f>
        <v>0</v>
      </c>
      <c r="AI15" s="66">
        <v>11.44</v>
      </c>
      <c r="AJ15" s="65">
        <f>$K15*AI15</f>
        <v>0</v>
      </c>
    </row>
    <row r="16" spans="1:36" s="186" customFormat="1" ht="3.75" customHeight="1">
      <c r="A16" s="398"/>
      <c r="B16" s="399"/>
      <c r="C16" s="399"/>
      <c r="D16" s="399"/>
      <c r="E16" s="399"/>
      <c r="F16" s="399"/>
      <c r="G16" s="400"/>
      <c r="H16" s="400"/>
      <c r="I16" s="400"/>
      <c r="J16" s="400"/>
      <c r="K16" s="400"/>
      <c r="L16" s="400"/>
      <c r="M16" s="400"/>
      <c r="N16" s="400"/>
      <c r="O16" s="400"/>
      <c r="P16" s="400"/>
      <c r="Q16" s="400"/>
      <c r="R16" s="400"/>
      <c r="S16" s="400"/>
      <c r="T16" s="397"/>
      <c r="U16" s="185"/>
      <c r="V16" s="65"/>
      <c r="W16" s="65"/>
      <c r="X16" s="65"/>
      <c r="Y16" s="65"/>
      <c r="Z16" s="66"/>
      <c r="AG16" s="185"/>
      <c r="AH16" s="185"/>
    </row>
    <row r="17" spans="1:36" s="66" customFormat="1" ht="19.5" customHeight="1">
      <c r="A17" s="402">
        <v>4</v>
      </c>
      <c r="B17" s="655" t="s">
        <v>526</v>
      </c>
      <c r="C17" s="655"/>
      <c r="D17" s="655"/>
      <c r="E17" s="655"/>
      <c r="F17" s="655"/>
      <c r="G17" s="655"/>
      <c r="H17" s="655"/>
      <c r="I17" s="399"/>
      <c r="J17" s="399"/>
      <c r="K17" s="399"/>
      <c r="L17" s="399"/>
      <c r="M17" s="399"/>
      <c r="N17" s="399"/>
      <c r="O17" s="399"/>
      <c r="P17" s="399"/>
      <c r="Q17" s="399"/>
      <c r="R17" s="399"/>
      <c r="S17" s="399"/>
      <c r="T17" s="271"/>
      <c r="U17" s="65"/>
      <c r="V17" s="65"/>
      <c r="W17" s="65"/>
      <c r="X17" s="65"/>
      <c r="Y17" s="65"/>
      <c r="AG17" s="65"/>
      <c r="AH17" s="65"/>
    </row>
    <row r="18" spans="1:36" s="66" customFormat="1" ht="19.5" customHeight="1">
      <c r="A18" s="398"/>
      <c r="B18" s="399" t="s">
        <v>499</v>
      </c>
      <c r="C18" s="399"/>
      <c r="D18" s="399"/>
      <c r="E18" s="399"/>
      <c r="F18" s="399"/>
      <c r="G18" s="399"/>
      <c r="H18" s="399"/>
      <c r="I18" s="399"/>
      <c r="J18" s="399"/>
      <c r="K18" s="399"/>
      <c r="L18" s="399"/>
      <c r="M18" s="399"/>
      <c r="N18" s="399"/>
      <c r="O18" s="399"/>
      <c r="P18" s="400" t="s">
        <v>500</v>
      </c>
      <c r="Q18" s="694">
        <f>'SP11-1'!I26</f>
        <v>0</v>
      </c>
      <c r="R18" s="694"/>
      <c r="S18" s="694"/>
      <c r="T18" s="271"/>
      <c r="U18" s="65"/>
      <c r="V18" s="65"/>
      <c r="W18" s="65"/>
      <c r="X18" s="65"/>
      <c r="Y18" s="65"/>
      <c r="AG18" s="65"/>
      <c r="AH18" s="65"/>
    </row>
    <row r="19" spans="1:36" s="66" customFormat="1" ht="19.5" customHeight="1">
      <c r="A19" s="398"/>
      <c r="B19" s="399" t="s">
        <v>501</v>
      </c>
      <c r="C19" s="399"/>
      <c r="D19" s="399"/>
      <c r="E19" s="399"/>
      <c r="F19" s="399"/>
      <c r="G19" s="399"/>
      <c r="H19" s="399"/>
      <c r="I19" s="399"/>
      <c r="J19" s="399"/>
      <c r="K19" s="399"/>
      <c r="L19" s="399"/>
      <c r="M19" s="399"/>
      <c r="N19" s="399"/>
      <c r="O19" s="399"/>
      <c r="P19" s="399"/>
      <c r="Q19" s="399"/>
      <c r="R19" s="399"/>
      <c r="S19" s="399"/>
      <c r="T19" s="271"/>
      <c r="U19" s="65"/>
      <c r="AG19" s="65"/>
      <c r="AH19" s="65"/>
    </row>
    <row r="20" spans="1:36" s="66" customFormat="1" ht="19.5" customHeight="1">
      <c r="A20" s="398"/>
      <c r="B20" s="420" t="s">
        <v>502</v>
      </c>
      <c r="C20" s="693" t="s">
        <v>503</v>
      </c>
      <c r="D20" s="693"/>
      <c r="E20" s="693"/>
      <c r="F20" s="693"/>
      <c r="G20" s="693"/>
      <c r="H20" s="693"/>
      <c r="I20" s="693"/>
      <c r="J20" s="693"/>
      <c r="K20" s="693" t="s">
        <v>504</v>
      </c>
      <c r="L20" s="693"/>
      <c r="M20" s="693"/>
      <c r="N20" s="693" t="s">
        <v>505</v>
      </c>
      <c r="O20" s="693"/>
      <c r="P20" s="693"/>
      <c r="Q20" s="693" t="s">
        <v>281</v>
      </c>
      <c r="R20" s="693"/>
      <c r="S20" s="693"/>
      <c r="T20" s="271"/>
      <c r="U20" s="65"/>
      <c r="AG20" s="65"/>
      <c r="AH20" s="65"/>
    </row>
    <row r="21" spans="1:36" s="66" customFormat="1" ht="19.5" customHeight="1">
      <c r="A21" s="398"/>
      <c r="B21" s="421"/>
      <c r="C21" s="690"/>
      <c r="D21" s="690"/>
      <c r="E21" s="690"/>
      <c r="F21" s="690"/>
      <c r="G21" s="690"/>
      <c r="H21" s="690"/>
      <c r="I21" s="690"/>
      <c r="J21" s="690"/>
      <c r="K21" s="691"/>
      <c r="L21" s="691"/>
      <c r="M21" s="691"/>
      <c r="N21" s="692" t="str">
        <f>'Tables NEW TABLES'!H296</f>
        <v/>
      </c>
      <c r="O21" s="692"/>
      <c r="P21" s="692"/>
      <c r="Q21" s="687" t="str">
        <f>IF(N21="","",K21*N21)</f>
        <v/>
      </c>
      <c r="R21" s="687"/>
      <c r="S21" s="687"/>
      <c r="T21" s="271"/>
      <c r="U21" s="65"/>
      <c r="V21" s="620" t="s">
        <v>984</v>
      </c>
      <c r="W21" s="620"/>
      <c r="X21" s="620"/>
      <c r="Y21" s="620"/>
      <c r="Z21" s="620"/>
      <c r="AG21" s="194" t="str">
        <f>'Tables NEW TABLES'!I296</f>
        <v/>
      </c>
      <c r="AH21" s="195" t="str">
        <f t="shared" ref="AH21:AH29" si="0">IF($K21="","",$K21*AG21)</f>
        <v/>
      </c>
      <c r="AI21" s="194" t="str">
        <f>'Tables NEW TABLES'!J296</f>
        <v/>
      </c>
      <c r="AJ21" s="195" t="str">
        <f t="shared" ref="AJ21:AJ29" si="1">IF($K21="","",$K21*AI21)</f>
        <v/>
      </c>
    </row>
    <row r="22" spans="1:36" s="66" customFormat="1" ht="19.5" customHeight="1">
      <c r="A22" s="398"/>
      <c r="B22" s="421"/>
      <c r="C22" s="690"/>
      <c r="D22" s="690"/>
      <c r="E22" s="690"/>
      <c r="F22" s="690"/>
      <c r="G22" s="690"/>
      <c r="H22" s="690"/>
      <c r="I22" s="690"/>
      <c r="J22" s="690"/>
      <c r="K22" s="691"/>
      <c r="L22" s="691"/>
      <c r="M22" s="691"/>
      <c r="N22" s="692" t="str">
        <f>'Tables NEW TABLES'!H297</f>
        <v/>
      </c>
      <c r="O22" s="692"/>
      <c r="P22" s="692"/>
      <c r="Q22" s="687" t="str">
        <f t="shared" ref="Q22:Q29" si="2">IF(N22="","",K22*N22)</f>
        <v/>
      </c>
      <c r="R22" s="687"/>
      <c r="S22" s="687"/>
      <c r="T22" s="271"/>
      <c r="U22" s="65"/>
      <c r="V22" s="620"/>
      <c r="W22" s="620"/>
      <c r="X22" s="620"/>
      <c r="Y22" s="620"/>
      <c r="Z22" s="620"/>
      <c r="AG22" s="194" t="str">
        <f>'Tables NEW TABLES'!I297</f>
        <v/>
      </c>
      <c r="AH22" s="195" t="str">
        <f t="shared" si="0"/>
        <v/>
      </c>
      <c r="AI22" s="194" t="str">
        <f>'Tables NEW TABLES'!J297</f>
        <v/>
      </c>
      <c r="AJ22" s="195" t="str">
        <f t="shared" si="1"/>
        <v/>
      </c>
    </row>
    <row r="23" spans="1:36" s="66" customFormat="1" ht="19.5" customHeight="1">
      <c r="A23" s="398"/>
      <c r="B23" s="421"/>
      <c r="C23" s="690"/>
      <c r="D23" s="690"/>
      <c r="E23" s="690"/>
      <c r="F23" s="690"/>
      <c r="G23" s="690"/>
      <c r="H23" s="690"/>
      <c r="I23" s="690"/>
      <c r="J23" s="690"/>
      <c r="K23" s="691"/>
      <c r="L23" s="691"/>
      <c r="M23" s="691"/>
      <c r="N23" s="692" t="str">
        <f>'Tables NEW TABLES'!H298</f>
        <v/>
      </c>
      <c r="O23" s="692"/>
      <c r="P23" s="692"/>
      <c r="Q23" s="687" t="str">
        <f t="shared" si="2"/>
        <v/>
      </c>
      <c r="R23" s="687"/>
      <c r="S23" s="687"/>
      <c r="T23" s="271"/>
      <c r="U23" s="65"/>
      <c r="V23" s="620"/>
      <c r="W23" s="620"/>
      <c r="X23" s="620"/>
      <c r="Y23" s="620"/>
      <c r="Z23" s="620"/>
      <c r="AG23" s="194" t="str">
        <f>'Tables NEW TABLES'!I298</f>
        <v/>
      </c>
      <c r="AH23" s="195" t="str">
        <f t="shared" si="0"/>
        <v/>
      </c>
      <c r="AI23" s="194" t="str">
        <f>'Tables NEW TABLES'!J298</f>
        <v/>
      </c>
      <c r="AJ23" s="195" t="str">
        <f t="shared" si="1"/>
        <v/>
      </c>
    </row>
    <row r="24" spans="1:36" s="66" customFormat="1" ht="19.5" customHeight="1">
      <c r="A24" s="398"/>
      <c r="B24" s="421"/>
      <c r="C24" s="690"/>
      <c r="D24" s="690"/>
      <c r="E24" s="690"/>
      <c r="F24" s="690"/>
      <c r="G24" s="690"/>
      <c r="H24" s="690"/>
      <c r="I24" s="690"/>
      <c r="J24" s="690"/>
      <c r="K24" s="691"/>
      <c r="L24" s="691"/>
      <c r="M24" s="691"/>
      <c r="N24" s="692" t="str">
        <f>'Tables NEW TABLES'!H299</f>
        <v/>
      </c>
      <c r="O24" s="692"/>
      <c r="P24" s="692"/>
      <c r="Q24" s="687" t="str">
        <f>IF(N24="","",K24*N24)</f>
        <v/>
      </c>
      <c r="R24" s="687"/>
      <c r="S24" s="687"/>
      <c r="T24" s="271"/>
      <c r="U24" s="65"/>
      <c r="V24" s="620"/>
      <c r="W24" s="620"/>
      <c r="X24" s="620"/>
      <c r="Y24" s="620"/>
      <c r="Z24" s="620"/>
      <c r="AG24" s="194" t="str">
        <f>'Tables NEW TABLES'!I299</f>
        <v/>
      </c>
      <c r="AH24" s="195" t="str">
        <f t="shared" si="0"/>
        <v/>
      </c>
      <c r="AI24" s="194" t="str">
        <f>'Tables NEW TABLES'!J299</f>
        <v/>
      </c>
      <c r="AJ24" s="195" t="str">
        <f t="shared" si="1"/>
        <v/>
      </c>
    </row>
    <row r="25" spans="1:36" s="66" customFormat="1" ht="19.5" customHeight="1">
      <c r="A25" s="398"/>
      <c r="B25" s="421"/>
      <c r="C25" s="690"/>
      <c r="D25" s="690"/>
      <c r="E25" s="690"/>
      <c r="F25" s="690"/>
      <c r="G25" s="690"/>
      <c r="H25" s="690"/>
      <c r="I25" s="690"/>
      <c r="J25" s="690"/>
      <c r="K25" s="691"/>
      <c r="L25" s="691"/>
      <c r="M25" s="691"/>
      <c r="N25" s="692" t="str">
        <f>'Tables NEW TABLES'!H300</f>
        <v/>
      </c>
      <c r="O25" s="692"/>
      <c r="P25" s="692"/>
      <c r="Q25" s="687" t="str">
        <f>IF(N25="","",K25*N25)</f>
        <v/>
      </c>
      <c r="R25" s="687"/>
      <c r="S25" s="687"/>
      <c r="T25" s="271"/>
      <c r="U25" s="65"/>
      <c r="V25" s="620"/>
      <c r="W25" s="620"/>
      <c r="X25" s="620"/>
      <c r="Y25" s="620"/>
      <c r="Z25" s="620"/>
      <c r="AG25" s="194" t="str">
        <f>'Tables NEW TABLES'!I300</f>
        <v/>
      </c>
      <c r="AH25" s="195" t="str">
        <f t="shared" si="0"/>
        <v/>
      </c>
      <c r="AI25" s="194" t="str">
        <f>'Tables NEW TABLES'!J300</f>
        <v/>
      </c>
      <c r="AJ25" s="195" t="str">
        <f t="shared" si="1"/>
        <v/>
      </c>
    </row>
    <row r="26" spans="1:36" s="66" customFormat="1" ht="19.5" customHeight="1">
      <c r="A26" s="398"/>
      <c r="B26" s="421"/>
      <c r="C26" s="690"/>
      <c r="D26" s="690"/>
      <c r="E26" s="690"/>
      <c r="F26" s="690"/>
      <c r="G26" s="690"/>
      <c r="H26" s="690"/>
      <c r="I26" s="690"/>
      <c r="J26" s="690"/>
      <c r="K26" s="691"/>
      <c r="L26" s="691"/>
      <c r="M26" s="691"/>
      <c r="N26" s="692" t="str">
        <f>'Tables NEW TABLES'!H301</f>
        <v/>
      </c>
      <c r="O26" s="692"/>
      <c r="P26" s="692"/>
      <c r="Q26" s="687" t="str">
        <f t="shared" si="2"/>
        <v/>
      </c>
      <c r="R26" s="687"/>
      <c r="S26" s="687"/>
      <c r="T26" s="271"/>
      <c r="U26" s="65"/>
      <c r="V26" s="620"/>
      <c r="W26" s="620"/>
      <c r="X26" s="620"/>
      <c r="Y26" s="620"/>
      <c r="Z26" s="620"/>
      <c r="AG26" s="194" t="str">
        <f>'Tables NEW TABLES'!I301</f>
        <v/>
      </c>
      <c r="AH26" s="195" t="str">
        <f t="shared" si="0"/>
        <v/>
      </c>
      <c r="AI26" s="194" t="str">
        <f>'Tables NEW TABLES'!J301</f>
        <v/>
      </c>
      <c r="AJ26" s="195" t="str">
        <f t="shared" si="1"/>
        <v/>
      </c>
    </row>
    <row r="27" spans="1:36" s="66" customFormat="1" ht="19.5" customHeight="1">
      <c r="A27" s="398"/>
      <c r="B27" s="421"/>
      <c r="C27" s="690"/>
      <c r="D27" s="690"/>
      <c r="E27" s="690"/>
      <c r="F27" s="690"/>
      <c r="G27" s="690"/>
      <c r="H27" s="690"/>
      <c r="I27" s="690"/>
      <c r="J27" s="690"/>
      <c r="K27" s="691"/>
      <c r="L27" s="691"/>
      <c r="M27" s="691"/>
      <c r="N27" s="692" t="str">
        <f>'Tables NEW TABLES'!H302</f>
        <v/>
      </c>
      <c r="O27" s="692"/>
      <c r="P27" s="692"/>
      <c r="Q27" s="687" t="str">
        <f t="shared" si="2"/>
        <v/>
      </c>
      <c r="R27" s="687"/>
      <c r="S27" s="687"/>
      <c r="T27" s="271"/>
      <c r="U27" s="65"/>
      <c r="V27" s="620"/>
      <c r="W27" s="620"/>
      <c r="X27" s="620"/>
      <c r="Y27" s="620"/>
      <c r="Z27" s="620"/>
      <c r="AG27" s="194" t="str">
        <f>'Tables NEW TABLES'!I302</f>
        <v/>
      </c>
      <c r="AH27" s="195" t="str">
        <f t="shared" si="0"/>
        <v/>
      </c>
      <c r="AI27" s="194" t="str">
        <f>'Tables NEW TABLES'!J302</f>
        <v/>
      </c>
      <c r="AJ27" s="195" t="str">
        <f t="shared" si="1"/>
        <v/>
      </c>
    </row>
    <row r="28" spans="1:36" s="66" customFormat="1" ht="19.5" customHeight="1">
      <c r="A28" s="398"/>
      <c r="B28" s="421"/>
      <c r="C28" s="690"/>
      <c r="D28" s="690"/>
      <c r="E28" s="690"/>
      <c r="F28" s="690"/>
      <c r="G28" s="690"/>
      <c r="H28" s="690"/>
      <c r="I28" s="690"/>
      <c r="J28" s="690"/>
      <c r="K28" s="691"/>
      <c r="L28" s="691"/>
      <c r="M28" s="691"/>
      <c r="N28" s="692" t="str">
        <f>'Tables NEW TABLES'!H303</f>
        <v/>
      </c>
      <c r="O28" s="692"/>
      <c r="P28" s="692"/>
      <c r="Q28" s="687" t="str">
        <f t="shared" si="2"/>
        <v/>
      </c>
      <c r="R28" s="687"/>
      <c r="S28" s="687"/>
      <c r="T28" s="271"/>
      <c r="U28" s="65"/>
      <c r="V28" s="620"/>
      <c r="W28" s="620"/>
      <c r="X28" s="620"/>
      <c r="Y28" s="620"/>
      <c r="Z28" s="620"/>
      <c r="AG28" s="194" t="str">
        <f>'Tables NEW TABLES'!I303</f>
        <v/>
      </c>
      <c r="AH28" s="195" t="str">
        <f t="shared" si="0"/>
        <v/>
      </c>
      <c r="AI28" s="194" t="str">
        <f>'Tables NEW TABLES'!J303</f>
        <v/>
      </c>
      <c r="AJ28" s="195" t="str">
        <f t="shared" si="1"/>
        <v/>
      </c>
    </row>
    <row r="29" spans="1:36" s="66" customFormat="1" ht="19.5" customHeight="1">
      <c r="A29" s="398"/>
      <c r="B29" s="421"/>
      <c r="C29" s="690"/>
      <c r="D29" s="690"/>
      <c r="E29" s="690"/>
      <c r="F29" s="690"/>
      <c r="G29" s="690"/>
      <c r="H29" s="690"/>
      <c r="I29" s="690"/>
      <c r="J29" s="690"/>
      <c r="K29" s="691"/>
      <c r="L29" s="691"/>
      <c r="M29" s="691"/>
      <c r="N29" s="692" t="str">
        <f>'Tables NEW TABLES'!H304</f>
        <v/>
      </c>
      <c r="O29" s="692"/>
      <c r="P29" s="692"/>
      <c r="Q29" s="687" t="str">
        <f t="shared" si="2"/>
        <v/>
      </c>
      <c r="R29" s="687"/>
      <c r="S29" s="687"/>
      <c r="T29" s="271"/>
      <c r="U29" s="65"/>
      <c r="V29" s="620"/>
      <c r="W29" s="620"/>
      <c r="X29" s="620"/>
      <c r="Y29" s="620"/>
      <c r="Z29" s="620"/>
      <c r="AG29" s="194" t="str">
        <f>'Tables NEW TABLES'!I304</f>
        <v/>
      </c>
      <c r="AH29" s="195" t="str">
        <f t="shared" si="0"/>
        <v/>
      </c>
      <c r="AI29" s="194" t="str">
        <f>'Tables NEW TABLES'!J304</f>
        <v/>
      </c>
      <c r="AJ29" s="195" t="str">
        <f t="shared" si="1"/>
        <v/>
      </c>
    </row>
    <row r="30" spans="1:36" s="66" customFormat="1" ht="19.5" customHeight="1">
      <c r="A30" s="398"/>
      <c r="B30" s="399"/>
      <c r="C30" s="399"/>
      <c r="D30" s="399"/>
      <c r="E30" s="399"/>
      <c r="F30" s="399"/>
      <c r="G30" s="399"/>
      <c r="H30" s="399"/>
      <c r="I30" s="399"/>
      <c r="J30" s="399"/>
      <c r="K30" s="399"/>
      <c r="L30" s="399"/>
      <c r="M30" s="399"/>
      <c r="N30" s="399"/>
      <c r="O30" s="399"/>
      <c r="P30" s="400" t="s">
        <v>527</v>
      </c>
      <c r="Q30" s="688">
        <f>SUM(Q21:S29)</f>
        <v>0</v>
      </c>
      <c r="R30" s="688"/>
      <c r="S30" s="688"/>
      <c r="T30" s="273" t="s">
        <v>528</v>
      </c>
      <c r="U30" s="65"/>
      <c r="AG30" s="65"/>
      <c r="AH30" s="196">
        <f>SUM(AH21:AH29)</f>
        <v>0</v>
      </c>
      <c r="AI30" s="196"/>
      <c r="AJ30" s="196">
        <f>SUM(AJ21:AJ29)</f>
        <v>0</v>
      </c>
    </row>
    <row r="31" spans="1:36" s="186" customFormat="1" ht="3.75" customHeight="1">
      <c r="A31" s="398"/>
      <c r="B31" s="399"/>
      <c r="C31" s="399"/>
      <c r="D31" s="399"/>
      <c r="E31" s="399"/>
      <c r="F31" s="399"/>
      <c r="G31" s="399"/>
      <c r="H31" s="399"/>
      <c r="I31" s="399"/>
      <c r="J31" s="399"/>
      <c r="K31" s="399"/>
      <c r="L31" s="399"/>
      <c r="M31" s="399"/>
      <c r="N31" s="399"/>
      <c r="O31" s="399"/>
      <c r="P31" s="399"/>
      <c r="Q31" s="422"/>
      <c r="R31" s="422"/>
      <c r="S31" s="422"/>
      <c r="T31" s="397"/>
      <c r="U31" s="185"/>
      <c r="V31" s="65"/>
      <c r="W31" s="65"/>
      <c r="X31" s="65"/>
      <c r="Y31" s="65"/>
      <c r="Z31" s="66"/>
      <c r="AG31" s="185"/>
      <c r="AH31" s="185"/>
    </row>
    <row r="32" spans="1:36" s="66" customFormat="1" ht="19.5" customHeight="1">
      <c r="A32" s="402">
        <v>5</v>
      </c>
      <c r="B32" s="655" t="s">
        <v>529</v>
      </c>
      <c r="C32" s="655"/>
      <c r="D32" s="655"/>
      <c r="E32" s="655"/>
      <c r="F32" s="655"/>
      <c r="G32" s="655"/>
      <c r="H32" s="655"/>
      <c r="I32" s="655"/>
      <c r="J32" s="655"/>
      <c r="K32" s="405"/>
      <c r="L32" s="399"/>
      <c r="M32" s="399"/>
      <c r="N32" s="399"/>
      <c r="O32" s="399"/>
      <c r="P32" s="399"/>
      <c r="Q32" s="399"/>
      <c r="R32" s="399"/>
      <c r="S32" s="399"/>
      <c r="T32" s="271"/>
      <c r="U32" s="65"/>
      <c r="AG32" s="65"/>
      <c r="AH32" s="65"/>
    </row>
    <row r="33" spans="1:36" s="66" customFormat="1" ht="19.5" customHeight="1">
      <c r="A33" s="398"/>
      <c r="B33" s="399"/>
      <c r="C33" s="399"/>
      <c r="D33" s="399"/>
      <c r="E33" s="399"/>
      <c r="F33" s="399"/>
      <c r="G33" s="400"/>
      <c r="H33" s="400"/>
      <c r="I33" s="400"/>
      <c r="J33" s="400" t="s">
        <v>267</v>
      </c>
      <c r="K33" s="689"/>
      <c r="L33" s="689"/>
      <c r="M33" s="689"/>
      <c r="N33" s="399" t="s">
        <v>495</v>
      </c>
      <c r="O33" s="403">
        <f>'Tables NEW TABLES'!K280-'Tables NEW TABLES'!K279</f>
        <v>-0.98064352657801512</v>
      </c>
      <c r="P33" s="400" t="s">
        <v>521</v>
      </c>
      <c r="Q33" s="687">
        <f>K33*O33</f>
        <v>0</v>
      </c>
      <c r="R33" s="687"/>
      <c r="S33" s="687"/>
      <c r="T33" s="273" t="s">
        <v>530</v>
      </c>
      <c r="U33" s="65"/>
      <c r="V33" s="620" t="s">
        <v>985</v>
      </c>
      <c r="W33" s="620"/>
      <c r="X33" s="620"/>
      <c r="Y33" s="620"/>
      <c r="Z33" s="620"/>
      <c r="AG33" s="65">
        <v>19.21</v>
      </c>
      <c r="AH33" s="65">
        <f>$K33*AG33</f>
        <v>0</v>
      </c>
      <c r="AI33" s="66">
        <v>11.44</v>
      </c>
      <c r="AJ33" s="65">
        <f>$K33*AI33</f>
        <v>0</v>
      </c>
    </row>
    <row r="34" spans="1:36" s="186" customFormat="1" ht="3.75" customHeight="1">
      <c r="A34" s="398"/>
      <c r="B34" s="399"/>
      <c r="C34" s="399"/>
      <c r="D34" s="399"/>
      <c r="E34" s="399"/>
      <c r="F34" s="399"/>
      <c r="G34" s="400"/>
      <c r="H34" s="400"/>
      <c r="I34" s="400"/>
      <c r="J34" s="400"/>
      <c r="K34" s="400"/>
      <c r="L34" s="400"/>
      <c r="M34" s="400"/>
      <c r="N34" s="400"/>
      <c r="O34" s="400"/>
      <c r="P34" s="400"/>
      <c r="Q34" s="400"/>
      <c r="R34" s="400"/>
      <c r="S34" s="400"/>
      <c r="T34" s="397"/>
      <c r="U34" s="185"/>
      <c r="V34" s="185"/>
      <c r="W34" s="185"/>
      <c r="AG34" s="185"/>
      <c r="AH34" s="185"/>
    </row>
    <row r="35" spans="1:36" s="66" customFormat="1" ht="19.5" customHeight="1">
      <c r="A35" s="402">
        <v>6</v>
      </c>
      <c r="B35" s="655" t="s">
        <v>531</v>
      </c>
      <c r="C35" s="655"/>
      <c r="D35" s="655"/>
      <c r="E35" s="655"/>
      <c r="F35" s="655"/>
      <c r="G35" s="399"/>
      <c r="H35" s="399"/>
      <c r="I35" s="399"/>
      <c r="J35" s="399"/>
      <c r="K35" s="399"/>
      <c r="L35" s="399"/>
      <c r="M35" s="399"/>
      <c r="N35" s="399"/>
      <c r="O35" s="399"/>
      <c r="P35" s="399"/>
      <c r="Q35" s="399"/>
      <c r="R35" s="399"/>
      <c r="S35" s="399"/>
      <c r="T35" s="271"/>
      <c r="U35" s="65"/>
      <c r="V35" s="65"/>
      <c r="W35" s="65"/>
      <c r="AG35" s="65"/>
      <c r="AH35" s="65"/>
    </row>
    <row r="36" spans="1:36" s="66" customFormat="1" ht="19.5" customHeight="1">
      <c r="A36" s="398"/>
      <c r="B36" s="399"/>
      <c r="C36" s="399"/>
      <c r="D36" s="399"/>
      <c r="E36" s="399"/>
      <c r="F36" s="399"/>
      <c r="G36" s="399"/>
      <c r="H36" s="399"/>
      <c r="I36" s="399"/>
      <c r="J36" s="399"/>
      <c r="K36" s="405"/>
      <c r="L36" s="399"/>
      <c r="M36" s="399"/>
      <c r="N36" s="399"/>
      <c r="O36" s="399"/>
      <c r="P36" s="400" t="s">
        <v>532</v>
      </c>
      <c r="Q36" s="687">
        <f>Q8+Q11+Q15+Q30+Q33</f>
        <v>0</v>
      </c>
      <c r="R36" s="687"/>
      <c r="S36" s="687"/>
      <c r="T36" s="273" t="s">
        <v>438</v>
      </c>
      <c r="U36" s="65"/>
      <c r="V36" s="620" t="s">
        <v>533</v>
      </c>
      <c r="W36" s="620"/>
      <c r="X36" s="620"/>
      <c r="Y36" s="620"/>
      <c r="Z36" s="620"/>
      <c r="AG36" s="65"/>
      <c r="AH36" s="79">
        <f>AH8+AH11+AH15+AH30+AH33</f>
        <v>0</v>
      </c>
      <c r="AI36" s="79"/>
      <c r="AJ36" s="79">
        <f>AJ8+AJ11+AJ15+AJ30+AJ33</f>
        <v>0</v>
      </c>
    </row>
    <row r="37" spans="1:36" s="66" customFormat="1" ht="19.5" customHeight="1">
      <c r="A37" s="271"/>
      <c r="B37" s="274"/>
      <c r="C37" s="274"/>
      <c r="D37" s="274"/>
      <c r="E37" s="274"/>
      <c r="F37" s="274"/>
      <c r="G37" s="274"/>
      <c r="H37" s="274"/>
      <c r="I37" s="274"/>
      <c r="J37" s="274"/>
      <c r="K37" s="274"/>
      <c r="L37" s="274"/>
      <c r="M37" s="274"/>
      <c r="N37" s="274"/>
      <c r="O37" s="274"/>
      <c r="P37" s="274"/>
      <c r="Q37" s="274"/>
      <c r="R37" s="274"/>
      <c r="S37" s="418"/>
      <c r="T37" s="271"/>
      <c r="U37" s="65"/>
      <c r="V37" s="65"/>
      <c r="W37" s="65"/>
      <c r="X37" s="65"/>
      <c r="Y37" s="65"/>
    </row>
    <row r="38" spans="1:36" s="66" customFormat="1" ht="14.25" customHeight="1">
      <c r="A38" s="70"/>
      <c r="B38" s="65"/>
      <c r="C38" s="65"/>
      <c r="D38" s="65"/>
      <c r="E38" s="65"/>
      <c r="F38" s="65"/>
      <c r="G38" s="65"/>
      <c r="H38" s="65"/>
      <c r="I38" s="65"/>
      <c r="J38" s="65"/>
      <c r="K38" s="65"/>
      <c r="L38" s="65"/>
      <c r="M38" s="65"/>
      <c r="N38" s="65"/>
      <c r="O38" s="65"/>
      <c r="P38" s="65"/>
      <c r="Q38" s="65"/>
      <c r="R38" s="65"/>
      <c r="S38" s="65"/>
      <c r="T38" s="70"/>
      <c r="U38" s="65"/>
      <c r="V38" s="65"/>
      <c r="W38" s="65"/>
      <c r="X38" s="65"/>
      <c r="Y38" s="65"/>
    </row>
    <row r="39" spans="1:36" s="66" customFormat="1" ht="14.25" customHeight="1">
      <c r="A39" s="70"/>
      <c r="B39" s="65"/>
      <c r="C39" s="65"/>
      <c r="D39" s="65"/>
      <c r="E39" s="65"/>
      <c r="F39" s="65"/>
      <c r="G39" s="65"/>
      <c r="H39" s="65"/>
      <c r="I39" s="65"/>
      <c r="J39" s="65"/>
      <c r="K39" s="65"/>
      <c r="L39" s="65"/>
      <c r="M39" s="65"/>
      <c r="N39" s="65"/>
      <c r="O39" s="65"/>
      <c r="P39" s="65"/>
      <c r="Q39" s="65"/>
      <c r="R39" s="65"/>
      <c r="S39" s="65"/>
      <c r="T39" s="70"/>
      <c r="U39" s="65"/>
      <c r="V39" s="65"/>
      <c r="W39" s="65"/>
      <c r="X39" s="65"/>
      <c r="Y39" s="65"/>
    </row>
    <row r="40" spans="1:36" s="66" customFormat="1" ht="14.25" customHeight="1">
      <c r="A40" s="70"/>
      <c r="B40" s="65"/>
      <c r="C40" s="65"/>
      <c r="D40" s="65"/>
      <c r="E40" s="65"/>
      <c r="F40" s="65"/>
      <c r="G40" s="65"/>
      <c r="H40" s="65"/>
      <c r="I40" s="65"/>
      <c r="J40" s="65"/>
      <c r="K40" s="65"/>
      <c r="L40" s="65"/>
      <c r="M40" s="65"/>
      <c r="N40" s="65"/>
      <c r="O40" s="65"/>
      <c r="P40" s="65"/>
      <c r="Q40" s="65"/>
      <c r="R40" s="65"/>
      <c r="S40" s="65"/>
      <c r="T40" s="70"/>
      <c r="U40" s="65"/>
      <c r="V40" s="65"/>
      <c r="W40" s="65"/>
      <c r="X40" s="65"/>
      <c r="Y40" s="65"/>
    </row>
    <row r="41" spans="1:36" s="66" customFormat="1" ht="14.25" customHeight="1">
      <c r="A41" s="70"/>
      <c r="B41" s="65"/>
      <c r="C41" s="65"/>
      <c r="D41" s="76"/>
      <c r="E41" s="65"/>
      <c r="F41" s="65"/>
      <c r="G41" s="65"/>
      <c r="H41" s="65"/>
      <c r="I41" s="65"/>
      <c r="J41" s="65"/>
      <c r="K41" s="65"/>
      <c r="L41" s="65"/>
      <c r="M41" s="65"/>
      <c r="N41" s="65"/>
      <c r="O41" s="65"/>
      <c r="P41" s="197"/>
      <c r="Q41" s="65"/>
      <c r="R41" s="65"/>
      <c r="S41" s="65"/>
      <c r="T41" s="70"/>
      <c r="U41" s="65"/>
      <c r="V41" s="65"/>
      <c r="W41" s="65"/>
      <c r="X41" s="65"/>
      <c r="Y41" s="65"/>
    </row>
    <row r="42" spans="1:36" s="66" customFormat="1" ht="14.25" customHeight="1">
      <c r="A42" s="70"/>
      <c r="B42" s="65"/>
      <c r="C42" s="65"/>
      <c r="D42" s="76"/>
      <c r="E42" s="65"/>
      <c r="F42" s="65"/>
      <c r="G42" s="65"/>
      <c r="H42" s="65"/>
      <c r="I42" s="65"/>
      <c r="J42" s="65"/>
      <c r="K42" s="65"/>
      <c r="L42" s="65"/>
      <c r="M42" s="65"/>
      <c r="N42" s="65"/>
      <c r="O42" s="65"/>
      <c r="P42" s="197"/>
      <c r="Q42" s="65"/>
      <c r="R42" s="65"/>
      <c r="S42" s="65"/>
      <c r="T42" s="70"/>
      <c r="U42" s="65"/>
      <c r="V42" s="65"/>
      <c r="W42" s="65"/>
      <c r="X42" s="65"/>
      <c r="Y42" s="65"/>
    </row>
    <row r="43" spans="1:36" s="66" customFormat="1" ht="14.25" customHeight="1">
      <c r="A43" s="70"/>
      <c r="B43" s="65"/>
      <c r="C43" s="65"/>
      <c r="D43" s="76"/>
      <c r="E43" s="65"/>
      <c r="F43" s="65"/>
      <c r="G43" s="65"/>
      <c r="H43" s="65"/>
      <c r="I43" s="65"/>
      <c r="J43" s="65"/>
      <c r="K43" s="65"/>
      <c r="L43" s="65"/>
      <c r="M43" s="65"/>
      <c r="N43" s="65"/>
      <c r="O43" s="65"/>
      <c r="P43" s="197"/>
      <c r="Q43" s="65"/>
      <c r="R43" s="65"/>
      <c r="S43" s="65"/>
      <c r="T43" s="70"/>
      <c r="U43" s="65"/>
      <c r="V43" s="65"/>
      <c r="W43" s="65"/>
      <c r="X43" s="65"/>
      <c r="Y43" s="65"/>
    </row>
    <row r="44" spans="1:36" s="66" customFormat="1" ht="14.25" customHeight="1">
      <c r="A44" s="65"/>
      <c r="B44" s="65"/>
      <c r="C44" s="65"/>
      <c r="D44" s="65"/>
      <c r="E44" s="65"/>
      <c r="F44" s="65"/>
      <c r="G44" s="65"/>
      <c r="H44" s="65"/>
      <c r="I44" s="65"/>
      <c r="J44" s="65"/>
      <c r="K44" s="65"/>
      <c r="L44" s="65"/>
      <c r="M44" s="65"/>
      <c r="N44" s="65"/>
      <c r="O44" s="65"/>
      <c r="P44" s="65"/>
      <c r="Q44" s="65"/>
      <c r="R44" s="65"/>
      <c r="S44" s="65"/>
      <c r="T44" s="70"/>
      <c r="U44" s="65"/>
      <c r="V44" s="65"/>
      <c r="W44" s="65"/>
      <c r="X44" s="65"/>
      <c r="Y44" s="65"/>
    </row>
    <row r="45" spans="1:36" s="66" customFormat="1" ht="14.25" customHeight="1">
      <c r="A45" s="65"/>
      <c r="B45" s="65"/>
      <c r="C45" s="65"/>
      <c r="D45" s="65"/>
      <c r="E45" s="65"/>
      <c r="F45" s="65"/>
      <c r="G45" s="65"/>
      <c r="H45" s="65"/>
      <c r="I45" s="65"/>
      <c r="J45" s="65"/>
      <c r="K45" s="65"/>
      <c r="L45" s="65"/>
      <c r="M45" s="65"/>
      <c r="N45" s="65"/>
      <c r="O45" s="65"/>
      <c r="P45" s="65"/>
      <c r="Q45" s="65"/>
      <c r="R45" s="65"/>
      <c r="S45" s="65"/>
      <c r="T45" s="70"/>
      <c r="U45" s="65"/>
      <c r="V45" s="65"/>
      <c r="W45" s="65"/>
      <c r="X45" s="65"/>
      <c r="Y45" s="65"/>
    </row>
    <row r="46" spans="1:36" s="66" customFormat="1" ht="14.25" customHeight="1">
      <c r="A46" s="65"/>
      <c r="B46" s="65"/>
      <c r="C46" s="65"/>
      <c r="D46" s="65"/>
      <c r="E46" s="65"/>
      <c r="F46" s="65"/>
      <c r="G46" s="65"/>
      <c r="H46" s="65"/>
      <c r="I46" s="65"/>
      <c r="J46" s="65"/>
      <c r="K46" s="65"/>
      <c r="L46" s="65"/>
      <c r="M46" s="65"/>
      <c r="N46" s="65"/>
      <c r="O46" s="65"/>
      <c r="P46" s="65"/>
      <c r="Q46" s="198"/>
      <c r="R46" s="198"/>
      <c r="S46" s="198"/>
      <c r="T46" s="70"/>
      <c r="U46" s="65"/>
      <c r="V46" s="65"/>
      <c r="W46" s="65"/>
      <c r="X46" s="65"/>
      <c r="Y46" s="65"/>
    </row>
    <row r="47" spans="1:36" s="66" customFormat="1" ht="14.25" customHeight="1">
      <c r="A47" s="65"/>
      <c r="B47" s="65"/>
      <c r="C47" s="65"/>
      <c r="D47" s="65"/>
      <c r="E47" s="65"/>
      <c r="F47" s="65"/>
      <c r="G47" s="65"/>
      <c r="H47" s="65"/>
      <c r="I47" s="65"/>
      <c r="J47" s="65"/>
      <c r="K47" s="65"/>
      <c r="L47" s="65"/>
      <c r="M47" s="65"/>
      <c r="N47" s="65"/>
      <c r="O47" s="65"/>
      <c r="P47" s="65"/>
      <c r="Q47" s="198"/>
      <c r="R47" s="198"/>
      <c r="S47" s="198"/>
      <c r="T47" s="70"/>
      <c r="U47" s="65"/>
      <c r="V47" s="65"/>
      <c r="W47" s="65"/>
      <c r="X47" s="65"/>
      <c r="Y47" s="65"/>
    </row>
    <row r="48" spans="1:36" s="66" customFormat="1" ht="11.4">
      <c r="A48" s="65"/>
      <c r="B48" s="65"/>
      <c r="C48" s="65"/>
      <c r="D48" s="65"/>
      <c r="E48" s="65"/>
      <c r="F48" s="65"/>
      <c r="G48" s="65"/>
      <c r="H48" s="65"/>
      <c r="I48" s="65"/>
      <c r="J48" s="65"/>
      <c r="K48" s="65"/>
      <c r="L48" s="65"/>
      <c r="M48" s="65"/>
      <c r="N48" s="65"/>
      <c r="O48" s="65"/>
      <c r="P48" s="65"/>
      <c r="Q48" s="65"/>
      <c r="R48" s="65"/>
      <c r="S48" s="65"/>
      <c r="T48" s="70"/>
      <c r="U48" s="65"/>
      <c r="V48" s="65"/>
      <c r="W48" s="65"/>
      <c r="X48" s="65"/>
      <c r="Y48" s="65"/>
    </row>
    <row r="49" spans="1:25" s="74" customFormat="1" hidden="1">
      <c r="A49" s="65">
        <v>0</v>
      </c>
      <c r="B49" s="65"/>
      <c r="C49" s="65"/>
      <c r="D49" s="65"/>
      <c r="E49" s="65"/>
      <c r="F49" s="65"/>
      <c r="G49" s="65"/>
      <c r="H49" s="65"/>
      <c r="I49" s="65"/>
      <c r="J49" s="65"/>
      <c r="K49" s="65"/>
      <c r="L49" s="65"/>
      <c r="M49" s="65"/>
      <c r="N49" s="65"/>
      <c r="O49" s="65"/>
      <c r="P49" s="65"/>
      <c r="Q49" s="65"/>
      <c r="R49" s="65"/>
      <c r="S49" s="65"/>
      <c r="T49" s="70"/>
      <c r="U49" s="65"/>
      <c r="V49" s="65"/>
      <c r="W49" s="65"/>
      <c r="X49" s="65"/>
      <c r="Y49" s="65"/>
    </row>
    <row r="50" spans="1:25" s="74" customFormat="1" hidden="1">
      <c r="A50" s="65">
        <v>1</v>
      </c>
      <c r="B50" s="65"/>
      <c r="C50" s="65"/>
      <c r="D50" s="65"/>
      <c r="E50" s="65"/>
      <c r="F50" s="65"/>
      <c r="G50" s="65"/>
      <c r="H50" s="65"/>
      <c r="I50" s="65"/>
      <c r="J50" s="65"/>
      <c r="K50" s="65"/>
      <c r="L50" s="65"/>
      <c r="M50" s="65"/>
      <c r="N50" s="65"/>
      <c r="O50" s="65"/>
      <c r="P50" s="65"/>
      <c r="Q50" s="65"/>
      <c r="R50" s="65"/>
      <c r="S50" s="65"/>
      <c r="T50" s="70"/>
      <c r="U50" s="65"/>
      <c r="V50" s="65"/>
      <c r="W50" s="65"/>
      <c r="X50" s="65"/>
      <c r="Y50" s="65"/>
    </row>
    <row r="51" spans="1:25" s="74" customFormat="1" hidden="1">
      <c r="A51" s="65">
        <v>2</v>
      </c>
      <c r="B51" s="65"/>
      <c r="C51" s="65"/>
      <c r="D51" s="65"/>
      <c r="E51" s="65"/>
      <c r="F51" s="65"/>
      <c r="G51" s="65"/>
      <c r="H51" s="65"/>
      <c r="I51" s="65"/>
      <c r="J51" s="65"/>
      <c r="K51" s="65"/>
      <c r="L51" s="65"/>
      <c r="M51" s="65"/>
      <c r="N51" s="65"/>
      <c r="O51" s="65"/>
      <c r="P51" s="65"/>
      <c r="Q51" s="65"/>
      <c r="R51" s="65"/>
      <c r="S51" s="65"/>
      <c r="T51" s="70"/>
      <c r="U51" s="65"/>
      <c r="V51" s="65"/>
      <c r="W51" s="65"/>
      <c r="X51" s="65"/>
      <c r="Y51" s="65"/>
    </row>
    <row r="52" spans="1:25" s="74" customFormat="1" hidden="1">
      <c r="A52" s="65">
        <v>3</v>
      </c>
      <c r="B52" s="65"/>
      <c r="C52" s="65"/>
      <c r="D52" s="65"/>
      <c r="E52" s="65"/>
      <c r="F52" s="65"/>
      <c r="G52" s="65"/>
      <c r="H52" s="65"/>
      <c r="I52" s="65"/>
      <c r="J52" s="65"/>
      <c r="K52" s="65"/>
      <c r="L52" s="65"/>
      <c r="M52" s="65"/>
      <c r="N52" s="65"/>
      <c r="O52" s="65"/>
      <c r="P52" s="65"/>
      <c r="Q52" s="65"/>
      <c r="R52" s="65"/>
      <c r="S52" s="65"/>
      <c r="T52" s="70"/>
      <c r="U52" s="65"/>
      <c r="V52" s="65"/>
      <c r="W52" s="65"/>
      <c r="X52" s="65"/>
      <c r="Y52" s="65"/>
    </row>
    <row r="53" spans="1:25" s="74" customFormat="1" hidden="1">
      <c r="A53" s="65">
        <v>4</v>
      </c>
      <c r="B53" s="65"/>
      <c r="C53" s="65"/>
      <c r="D53" s="65"/>
      <c r="E53" s="65"/>
      <c r="F53" s="65"/>
      <c r="G53" s="65"/>
      <c r="H53" s="65"/>
      <c r="I53" s="65"/>
      <c r="J53" s="65"/>
      <c r="K53" s="65"/>
      <c r="L53" s="65"/>
      <c r="M53" s="65"/>
      <c r="N53" s="65"/>
      <c r="O53" s="65"/>
      <c r="P53" s="65"/>
      <c r="Q53" s="65"/>
      <c r="R53" s="65"/>
      <c r="S53" s="65"/>
      <c r="T53" s="70"/>
      <c r="U53" s="65"/>
      <c r="V53" s="65"/>
      <c r="W53" s="65"/>
      <c r="X53" s="65"/>
      <c r="Y53" s="65"/>
    </row>
    <row r="54" spans="1:25" s="74" customFormat="1" hidden="1">
      <c r="A54" s="65">
        <v>5</v>
      </c>
      <c r="B54" s="65"/>
      <c r="C54" s="65"/>
      <c r="D54" s="65"/>
      <c r="E54" s="65"/>
      <c r="F54" s="65"/>
      <c r="G54" s="65"/>
      <c r="H54" s="65"/>
      <c r="I54" s="65"/>
      <c r="J54" s="65"/>
      <c r="K54" s="65"/>
      <c r="L54" s="65"/>
      <c r="M54" s="65"/>
      <c r="N54" s="65"/>
      <c r="O54" s="65"/>
      <c r="P54" s="65"/>
      <c r="Q54" s="65"/>
      <c r="R54" s="65"/>
      <c r="S54" s="65"/>
      <c r="T54" s="70"/>
      <c r="U54" s="65"/>
      <c r="V54" s="65"/>
      <c r="W54" s="65"/>
      <c r="X54" s="65"/>
      <c r="Y54" s="65"/>
    </row>
    <row r="55" spans="1:25" s="74" customFormat="1" hidden="1">
      <c r="A55" s="65">
        <v>6</v>
      </c>
      <c r="B55" s="65"/>
      <c r="C55" s="65"/>
      <c r="D55" s="65"/>
      <c r="E55" s="65"/>
      <c r="F55" s="65"/>
      <c r="G55" s="65"/>
      <c r="H55" s="65"/>
      <c r="I55" s="65"/>
      <c r="J55" s="65"/>
      <c r="K55" s="65"/>
      <c r="L55" s="65"/>
      <c r="M55" s="65"/>
      <c r="N55" s="65"/>
      <c r="O55" s="65"/>
      <c r="P55" s="65"/>
      <c r="Q55" s="65"/>
      <c r="R55" s="65"/>
      <c r="S55" s="65"/>
      <c r="T55" s="70"/>
      <c r="U55" s="65"/>
      <c r="V55" s="65"/>
      <c r="W55" s="65"/>
      <c r="X55" s="65"/>
      <c r="Y55" s="65"/>
    </row>
    <row r="56" spans="1:25" s="74" customFormat="1" hidden="1">
      <c r="A56" s="65">
        <v>7</v>
      </c>
      <c r="B56" s="65"/>
      <c r="C56" s="65"/>
      <c r="D56" s="65"/>
      <c r="E56" s="65"/>
      <c r="F56" s="65"/>
      <c r="G56" s="65"/>
      <c r="H56" s="65"/>
      <c r="I56" s="65"/>
      <c r="J56" s="65"/>
      <c r="K56" s="65"/>
      <c r="L56" s="65"/>
      <c r="M56" s="65"/>
      <c r="N56" s="65"/>
      <c r="O56" s="65"/>
      <c r="P56" s="65"/>
      <c r="Q56" s="65"/>
      <c r="R56" s="65"/>
      <c r="S56" s="65"/>
      <c r="T56" s="70"/>
      <c r="U56" s="65"/>
      <c r="V56" s="65"/>
      <c r="W56" s="65"/>
      <c r="X56" s="65"/>
      <c r="Y56" s="65"/>
    </row>
    <row r="57" spans="1:25" s="74" customFormat="1" hidden="1">
      <c r="A57" s="65">
        <v>8</v>
      </c>
      <c r="B57" s="65"/>
      <c r="C57" s="65"/>
      <c r="D57" s="65"/>
      <c r="E57" s="65"/>
      <c r="F57" s="65"/>
      <c r="G57" s="65"/>
      <c r="H57" s="65"/>
      <c r="I57" s="65"/>
      <c r="J57" s="65"/>
      <c r="K57" s="65"/>
      <c r="L57" s="65"/>
      <c r="M57" s="65"/>
      <c r="N57" s="65"/>
      <c r="O57" s="65"/>
      <c r="P57" s="65"/>
      <c r="Q57" s="65"/>
      <c r="R57" s="65"/>
      <c r="S57" s="65"/>
      <c r="T57" s="70"/>
      <c r="U57" s="65"/>
      <c r="V57" s="65"/>
      <c r="W57" s="65"/>
      <c r="X57" s="65"/>
      <c r="Y57" s="65"/>
    </row>
    <row r="58" spans="1:25" s="74" customFormat="1" hidden="1">
      <c r="A58" s="65">
        <v>9</v>
      </c>
      <c r="B58" s="65"/>
      <c r="C58" s="65"/>
      <c r="D58" s="65"/>
      <c r="E58" s="65"/>
      <c r="F58" s="65"/>
      <c r="G58" s="65"/>
      <c r="H58" s="65"/>
      <c r="I58" s="65"/>
      <c r="J58" s="65"/>
      <c r="K58" s="65"/>
      <c r="L58" s="65"/>
      <c r="M58" s="65"/>
      <c r="N58" s="65"/>
      <c r="O58" s="65"/>
      <c r="P58" s="65"/>
      <c r="Q58" s="65"/>
      <c r="R58" s="65"/>
      <c r="S58" s="65"/>
      <c r="T58" s="70"/>
      <c r="U58" s="65"/>
      <c r="V58" s="65"/>
      <c r="W58" s="65"/>
      <c r="X58" s="65"/>
      <c r="Y58" s="65"/>
    </row>
    <row r="59" spans="1:25" s="74" customFormat="1" hidden="1">
      <c r="A59" s="65">
        <v>10</v>
      </c>
      <c r="B59" s="65"/>
      <c r="C59" s="65"/>
      <c r="D59" s="65"/>
      <c r="E59" s="65"/>
      <c r="F59" s="65"/>
      <c r="G59" s="65"/>
      <c r="H59" s="65"/>
      <c r="I59" s="65"/>
      <c r="J59" s="65"/>
      <c r="K59" s="65"/>
      <c r="L59" s="65"/>
      <c r="M59" s="65"/>
      <c r="N59" s="65"/>
      <c r="O59" s="65"/>
      <c r="P59" s="65"/>
      <c r="Q59" s="65"/>
      <c r="R59" s="65"/>
      <c r="S59" s="65"/>
      <c r="T59" s="70"/>
      <c r="U59" s="65"/>
      <c r="V59" s="65"/>
      <c r="W59" s="65"/>
      <c r="X59" s="65"/>
      <c r="Y59" s="65"/>
    </row>
    <row r="60" spans="1:25" s="74" customFormat="1" hidden="1">
      <c r="A60" s="65">
        <v>11</v>
      </c>
      <c r="B60" s="65"/>
      <c r="C60" s="65"/>
      <c r="D60" s="65"/>
      <c r="E60" s="65"/>
      <c r="F60" s="65"/>
      <c r="G60" s="65"/>
      <c r="H60" s="65"/>
      <c r="I60" s="65"/>
      <c r="J60" s="65"/>
      <c r="K60" s="65"/>
      <c r="L60" s="65"/>
      <c r="M60" s="65"/>
      <c r="N60" s="65"/>
      <c r="O60" s="65"/>
      <c r="P60" s="65"/>
      <c r="Q60" s="65"/>
      <c r="R60" s="65"/>
      <c r="S60" s="65"/>
      <c r="T60" s="70"/>
      <c r="U60" s="65"/>
      <c r="V60" s="65"/>
      <c r="W60" s="65"/>
      <c r="X60" s="65"/>
      <c r="Y60" s="65"/>
    </row>
    <row r="61" spans="1:25" s="74" customFormat="1" hidden="1">
      <c r="A61" s="65">
        <v>12</v>
      </c>
      <c r="B61" s="65"/>
      <c r="C61" s="65"/>
      <c r="D61" s="65"/>
      <c r="E61" s="65"/>
      <c r="F61" s="65"/>
      <c r="G61" s="65"/>
      <c r="H61" s="65"/>
      <c r="I61" s="65"/>
      <c r="J61" s="65"/>
      <c r="K61" s="65"/>
      <c r="L61" s="65"/>
      <c r="M61" s="65"/>
      <c r="N61" s="65"/>
      <c r="O61" s="65"/>
      <c r="P61" s="65"/>
      <c r="Q61" s="65"/>
      <c r="R61" s="65"/>
      <c r="S61" s="65"/>
      <c r="T61" s="70"/>
      <c r="U61" s="65"/>
      <c r="V61" s="65"/>
      <c r="W61" s="65"/>
      <c r="X61" s="65"/>
      <c r="Y61" s="65"/>
    </row>
    <row r="62" spans="1:25" s="74" customFormat="1" hidden="1">
      <c r="A62" s="65">
        <v>13</v>
      </c>
      <c r="B62" s="65"/>
      <c r="C62" s="65"/>
      <c r="D62" s="65"/>
      <c r="E62" s="65"/>
      <c r="F62" s="65"/>
      <c r="G62" s="65"/>
      <c r="H62" s="65"/>
      <c r="I62" s="65"/>
      <c r="J62" s="65"/>
      <c r="K62" s="65"/>
      <c r="L62" s="65"/>
      <c r="M62" s="65"/>
      <c r="N62" s="65"/>
      <c r="O62" s="65"/>
      <c r="P62" s="65"/>
      <c r="Q62" s="65"/>
      <c r="R62" s="65"/>
      <c r="S62" s="65"/>
      <c r="T62" s="70"/>
      <c r="U62" s="65"/>
      <c r="V62" s="65"/>
      <c r="W62" s="65"/>
      <c r="X62" s="65"/>
      <c r="Y62" s="65"/>
    </row>
    <row r="63" spans="1:25" s="74" customFormat="1" hidden="1">
      <c r="A63" s="65">
        <v>14</v>
      </c>
      <c r="B63" s="65"/>
      <c r="C63" s="65"/>
      <c r="D63" s="65"/>
      <c r="E63" s="65"/>
      <c r="F63" s="65"/>
      <c r="G63" s="65"/>
      <c r="H63" s="65"/>
      <c r="I63" s="65"/>
      <c r="J63" s="65"/>
      <c r="K63" s="65"/>
      <c r="L63" s="65"/>
      <c r="M63" s="65"/>
      <c r="N63" s="65"/>
      <c r="O63" s="65"/>
      <c r="P63" s="65"/>
      <c r="Q63" s="65"/>
      <c r="R63" s="65"/>
      <c r="S63" s="65"/>
      <c r="T63" s="70"/>
      <c r="U63" s="65"/>
      <c r="V63" s="65"/>
      <c r="W63" s="65"/>
      <c r="X63" s="65"/>
      <c r="Y63" s="65"/>
    </row>
    <row r="64" spans="1:25" s="74" customFormat="1" hidden="1">
      <c r="A64" s="65">
        <v>15</v>
      </c>
      <c r="B64" s="65"/>
      <c r="C64" s="65"/>
      <c r="D64" s="65"/>
      <c r="E64" s="65"/>
      <c r="F64" s="65"/>
      <c r="G64" s="65"/>
      <c r="H64" s="65"/>
      <c r="I64" s="65"/>
      <c r="J64" s="65"/>
      <c r="K64" s="65"/>
      <c r="L64" s="65"/>
      <c r="M64" s="65"/>
      <c r="N64" s="65"/>
      <c r="O64" s="65"/>
      <c r="P64" s="65"/>
      <c r="Q64" s="65"/>
      <c r="R64" s="65"/>
      <c r="S64" s="65"/>
      <c r="T64" s="70"/>
      <c r="U64" s="65"/>
      <c r="V64" s="65"/>
      <c r="W64" s="65"/>
      <c r="X64" s="65"/>
      <c r="Y64" s="65"/>
    </row>
    <row r="65" spans="1:25" s="74" customFormat="1" hidden="1">
      <c r="A65" s="65">
        <v>16</v>
      </c>
      <c r="B65" s="65"/>
      <c r="C65" s="65"/>
      <c r="D65" s="65"/>
      <c r="E65" s="65"/>
      <c r="F65" s="65"/>
      <c r="G65" s="65"/>
      <c r="H65" s="65"/>
      <c r="I65" s="65"/>
      <c r="J65" s="65"/>
      <c r="K65" s="65"/>
      <c r="L65" s="65"/>
      <c r="M65" s="65"/>
      <c r="N65" s="65"/>
      <c r="O65" s="65"/>
      <c r="P65" s="65"/>
      <c r="Q65" s="65"/>
      <c r="R65" s="65"/>
      <c r="S65" s="65"/>
      <c r="T65" s="70"/>
      <c r="U65" s="65"/>
      <c r="V65" s="65"/>
      <c r="W65" s="65"/>
      <c r="X65" s="65"/>
      <c r="Y65" s="65"/>
    </row>
    <row r="66" spans="1:25" s="74" customFormat="1" hidden="1">
      <c r="A66" s="65">
        <v>17</v>
      </c>
      <c r="B66" s="65"/>
      <c r="C66" s="65"/>
      <c r="D66" s="65"/>
      <c r="E66" s="65"/>
      <c r="F66" s="65"/>
      <c r="G66" s="65"/>
      <c r="H66" s="65"/>
      <c r="I66" s="65"/>
      <c r="J66" s="65"/>
      <c r="K66" s="65"/>
      <c r="L66" s="65"/>
      <c r="M66" s="65"/>
      <c r="N66" s="65"/>
      <c r="O66" s="65"/>
      <c r="P66" s="65"/>
      <c r="Q66" s="65"/>
      <c r="R66" s="65"/>
      <c r="S66" s="65"/>
      <c r="T66" s="70"/>
      <c r="U66" s="65"/>
      <c r="V66" s="65"/>
      <c r="W66" s="65"/>
      <c r="X66" s="65"/>
      <c r="Y66" s="65"/>
    </row>
    <row r="67" spans="1:25" s="74" customFormat="1" hidden="1">
      <c r="A67" s="65">
        <v>18</v>
      </c>
      <c r="B67" s="65"/>
      <c r="C67" s="65"/>
      <c r="D67" s="65"/>
      <c r="E67" s="65"/>
      <c r="F67" s="65"/>
      <c r="G67" s="65"/>
      <c r="H67" s="65"/>
      <c r="I67" s="65"/>
      <c r="J67" s="65"/>
      <c r="K67" s="65"/>
      <c r="L67" s="65"/>
      <c r="M67" s="65"/>
      <c r="N67" s="65"/>
      <c r="O67" s="65"/>
      <c r="P67" s="65"/>
      <c r="Q67" s="65"/>
      <c r="R67" s="65"/>
      <c r="S67" s="65"/>
      <c r="T67" s="70"/>
      <c r="U67" s="65"/>
      <c r="V67" s="65"/>
      <c r="W67" s="65"/>
      <c r="X67" s="65"/>
      <c r="Y67" s="65"/>
    </row>
    <row r="68" spans="1:25" s="74" customFormat="1" hidden="1">
      <c r="A68" s="65">
        <v>19</v>
      </c>
      <c r="B68" s="65"/>
      <c r="C68" s="65"/>
      <c r="D68" s="65"/>
      <c r="E68" s="65"/>
      <c r="F68" s="65"/>
      <c r="G68" s="65"/>
      <c r="H68" s="65"/>
      <c r="I68" s="65"/>
      <c r="J68" s="65"/>
      <c r="K68" s="65"/>
      <c r="L68" s="65"/>
      <c r="M68" s="65"/>
      <c r="N68" s="65"/>
      <c r="O68" s="65"/>
      <c r="P68" s="65"/>
      <c r="Q68" s="65"/>
      <c r="R68" s="65"/>
      <c r="S68" s="65"/>
      <c r="T68" s="70"/>
      <c r="U68" s="65"/>
      <c r="V68" s="65"/>
      <c r="W68" s="65"/>
      <c r="X68" s="65"/>
      <c r="Y68" s="65"/>
    </row>
    <row r="69" spans="1:25" s="74" customFormat="1" hidden="1">
      <c r="A69" s="65">
        <v>20</v>
      </c>
      <c r="B69" s="65"/>
      <c r="C69" s="65"/>
      <c r="D69" s="65"/>
      <c r="E69" s="65"/>
      <c r="F69" s="65"/>
      <c r="G69" s="65"/>
      <c r="H69" s="65"/>
      <c r="I69" s="65"/>
      <c r="J69" s="65"/>
      <c r="K69" s="65"/>
      <c r="L69" s="65"/>
      <c r="M69" s="65"/>
      <c r="N69" s="65"/>
      <c r="O69" s="65"/>
      <c r="P69" s="65"/>
      <c r="Q69" s="65"/>
      <c r="R69" s="65"/>
      <c r="S69" s="65"/>
      <c r="T69" s="70"/>
      <c r="U69" s="65"/>
      <c r="V69" s="65"/>
      <c r="W69" s="65"/>
      <c r="X69" s="65"/>
      <c r="Y69" s="65"/>
    </row>
    <row r="70" spans="1:25" s="74" customFormat="1" hidden="1">
      <c r="A70" s="65">
        <v>21</v>
      </c>
      <c r="B70" s="65"/>
      <c r="C70" s="65"/>
      <c r="D70" s="65"/>
      <c r="E70" s="65"/>
      <c r="F70" s="65"/>
      <c r="G70" s="65"/>
      <c r="H70" s="65"/>
      <c r="I70" s="65"/>
      <c r="J70" s="65"/>
      <c r="K70" s="65"/>
      <c r="L70" s="65"/>
      <c r="M70" s="65"/>
      <c r="N70" s="65"/>
      <c r="O70" s="65"/>
      <c r="P70" s="65"/>
      <c r="Q70" s="65"/>
      <c r="R70" s="65"/>
      <c r="S70" s="65"/>
      <c r="T70" s="70"/>
      <c r="U70" s="65"/>
      <c r="V70" s="65"/>
      <c r="W70" s="65"/>
      <c r="X70" s="65"/>
      <c r="Y70" s="65"/>
    </row>
    <row r="71" spans="1:25" s="74" customFormat="1" hidden="1">
      <c r="A71" s="65">
        <v>22</v>
      </c>
      <c r="B71" s="65"/>
      <c r="C71" s="65"/>
      <c r="D71" s="65"/>
      <c r="E71" s="65"/>
      <c r="F71" s="65"/>
      <c r="G71" s="65"/>
      <c r="H71" s="65"/>
      <c r="I71" s="65"/>
      <c r="J71" s="65"/>
      <c r="K71" s="65"/>
      <c r="L71" s="65"/>
      <c r="M71" s="65"/>
      <c r="N71" s="65"/>
      <c r="O71" s="65"/>
      <c r="P71" s="65"/>
      <c r="Q71" s="65"/>
      <c r="R71" s="65"/>
      <c r="S71" s="65"/>
      <c r="T71" s="70"/>
      <c r="U71" s="65"/>
      <c r="V71" s="65"/>
      <c r="W71" s="65"/>
      <c r="X71" s="65"/>
      <c r="Y71" s="65"/>
    </row>
    <row r="72" spans="1:25" hidden="1">
      <c r="A72" s="65">
        <v>23</v>
      </c>
      <c r="B72" s="63"/>
      <c r="C72" s="63"/>
      <c r="D72" s="63"/>
      <c r="E72" s="63"/>
      <c r="F72" s="63"/>
      <c r="G72" s="63"/>
      <c r="H72" s="63"/>
      <c r="I72" s="63"/>
      <c r="J72" s="63"/>
      <c r="K72" s="63"/>
      <c r="L72" s="63"/>
      <c r="M72" s="63"/>
      <c r="N72" s="63"/>
      <c r="O72" s="63"/>
      <c r="P72" s="63"/>
      <c r="Q72" s="63"/>
      <c r="R72" s="63"/>
      <c r="S72" s="63"/>
      <c r="T72" s="64"/>
      <c r="U72" s="63"/>
      <c r="V72" s="63"/>
      <c r="W72" s="63"/>
      <c r="X72" s="63"/>
      <c r="Y72" s="63"/>
    </row>
    <row r="73" spans="1:25" hidden="1">
      <c r="A73" s="65">
        <v>24</v>
      </c>
      <c r="B73" s="63"/>
      <c r="C73" s="63"/>
      <c r="D73" s="63"/>
      <c r="E73" s="63"/>
      <c r="F73" s="63"/>
      <c r="G73" s="63"/>
      <c r="H73" s="63"/>
      <c r="I73" s="63"/>
      <c r="J73" s="63"/>
      <c r="K73" s="63"/>
      <c r="L73" s="63"/>
      <c r="M73" s="63"/>
      <c r="N73" s="63"/>
      <c r="O73" s="63"/>
      <c r="P73" s="63"/>
      <c r="Q73" s="63"/>
      <c r="R73" s="63"/>
      <c r="S73" s="63"/>
      <c r="T73" s="64"/>
      <c r="U73" s="63"/>
      <c r="V73" s="63"/>
      <c r="W73" s="63"/>
      <c r="X73" s="63"/>
      <c r="Y73" s="63"/>
    </row>
    <row r="74" spans="1:25" hidden="1">
      <c r="A74" s="65">
        <v>25</v>
      </c>
      <c r="B74" s="63"/>
      <c r="C74" s="63"/>
      <c r="D74" s="63"/>
      <c r="E74" s="63"/>
      <c r="F74" s="63"/>
      <c r="G74" s="63"/>
      <c r="H74" s="63"/>
      <c r="I74" s="63"/>
      <c r="J74" s="63"/>
      <c r="K74" s="63"/>
      <c r="L74" s="63"/>
      <c r="M74" s="63"/>
      <c r="N74" s="63"/>
      <c r="O74" s="63"/>
      <c r="P74" s="63"/>
      <c r="Q74" s="63"/>
      <c r="R74" s="63"/>
      <c r="S74" s="63"/>
      <c r="T74" s="64"/>
      <c r="U74" s="63"/>
      <c r="V74" s="63"/>
      <c r="W74" s="63"/>
      <c r="X74" s="63"/>
      <c r="Y74" s="63"/>
    </row>
    <row r="75" spans="1:25" hidden="1">
      <c r="A75" s="65">
        <v>26</v>
      </c>
      <c r="B75" s="63"/>
      <c r="C75" s="63"/>
      <c r="D75" s="63"/>
      <c r="E75" s="63"/>
      <c r="F75" s="63"/>
      <c r="G75" s="63"/>
      <c r="H75" s="63"/>
      <c r="I75" s="63"/>
      <c r="J75" s="63"/>
      <c r="K75" s="63"/>
      <c r="L75" s="63"/>
      <c r="M75" s="63"/>
      <c r="N75" s="63"/>
      <c r="O75" s="63"/>
      <c r="P75" s="63"/>
      <c r="Q75" s="63"/>
      <c r="R75" s="63"/>
      <c r="S75" s="63"/>
      <c r="T75" s="64"/>
      <c r="U75" s="63"/>
      <c r="V75" s="63"/>
      <c r="W75" s="63"/>
      <c r="X75" s="63"/>
      <c r="Y75" s="63"/>
    </row>
    <row r="76" spans="1:25" hidden="1">
      <c r="A76" s="65">
        <v>27</v>
      </c>
      <c r="B76" s="63"/>
      <c r="C76" s="63"/>
      <c r="D76" s="63"/>
      <c r="E76" s="63"/>
      <c r="F76" s="63"/>
      <c r="G76" s="63"/>
      <c r="H76" s="63"/>
      <c r="I76" s="63"/>
      <c r="J76" s="63"/>
      <c r="K76" s="63"/>
      <c r="L76" s="63"/>
      <c r="M76" s="63"/>
      <c r="N76" s="63"/>
      <c r="O76" s="63"/>
      <c r="P76" s="63"/>
      <c r="Q76" s="63"/>
      <c r="R76" s="63"/>
      <c r="S76" s="63"/>
      <c r="T76" s="64"/>
      <c r="U76" s="63"/>
      <c r="V76" s="63"/>
      <c r="W76" s="63"/>
      <c r="X76" s="63"/>
      <c r="Y76" s="63"/>
    </row>
    <row r="77" spans="1:25" hidden="1">
      <c r="A77" s="65">
        <v>28</v>
      </c>
      <c r="B77" s="63"/>
      <c r="C77" s="63"/>
      <c r="D77" s="63"/>
      <c r="E77" s="63"/>
      <c r="F77" s="63"/>
      <c r="G77" s="63"/>
      <c r="H77" s="63"/>
      <c r="I77" s="63"/>
      <c r="J77" s="63"/>
      <c r="K77" s="63"/>
      <c r="L77" s="63"/>
      <c r="M77" s="63"/>
      <c r="N77" s="63"/>
      <c r="O77" s="63"/>
      <c r="P77" s="63"/>
      <c r="Q77" s="63"/>
      <c r="R77" s="63"/>
      <c r="S77" s="63"/>
      <c r="T77" s="64"/>
      <c r="U77" s="63"/>
      <c r="V77" s="63"/>
      <c r="W77" s="63"/>
      <c r="X77" s="63"/>
      <c r="Y77" s="63"/>
    </row>
    <row r="78" spans="1:25" hidden="1">
      <c r="A78" s="65">
        <v>29</v>
      </c>
      <c r="B78" s="63"/>
      <c r="C78" s="63"/>
      <c r="D78" s="63"/>
      <c r="E78" s="63"/>
      <c r="F78" s="63"/>
      <c r="G78" s="63"/>
      <c r="H78" s="63"/>
      <c r="I78" s="63"/>
      <c r="J78" s="63"/>
      <c r="K78" s="63"/>
      <c r="L78" s="63"/>
      <c r="M78" s="63"/>
      <c r="N78" s="63"/>
      <c r="O78" s="63"/>
      <c r="P78" s="63"/>
      <c r="Q78" s="63"/>
      <c r="R78" s="63"/>
      <c r="S78" s="63"/>
      <c r="T78" s="64"/>
      <c r="U78" s="63"/>
      <c r="V78" s="63"/>
      <c r="W78" s="63"/>
      <c r="X78" s="63"/>
      <c r="Y78" s="63"/>
    </row>
    <row r="79" spans="1:25" hidden="1">
      <c r="A79" s="65">
        <v>30</v>
      </c>
      <c r="B79" s="63"/>
      <c r="C79" s="63"/>
      <c r="D79" s="63"/>
      <c r="E79" s="63"/>
      <c r="F79" s="63"/>
      <c r="G79" s="63"/>
      <c r="H79" s="63"/>
      <c r="I79" s="63"/>
      <c r="J79" s="63"/>
      <c r="K79" s="63"/>
      <c r="L79" s="63"/>
      <c r="M79" s="63"/>
      <c r="N79" s="63"/>
      <c r="O79" s="63"/>
      <c r="P79" s="63"/>
      <c r="Q79" s="63"/>
      <c r="R79" s="63"/>
      <c r="S79" s="63"/>
      <c r="T79" s="64"/>
      <c r="U79" s="63"/>
      <c r="V79" s="63"/>
      <c r="W79" s="63"/>
      <c r="X79" s="63"/>
      <c r="Y79" s="63"/>
    </row>
    <row r="80" spans="1:25" hidden="1">
      <c r="A80" s="65">
        <v>31</v>
      </c>
      <c r="B80" s="63"/>
      <c r="C80" s="63"/>
      <c r="D80" s="63"/>
      <c r="E80" s="63"/>
      <c r="F80" s="63"/>
      <c r="G80" s="63"/>
      <c r="H80" s="63"/>
      <c r="I80" s="63"/>
      <c r="J80" s="63"/>
      <c r="K80" s="63"/>
      <c r="L80" s="63"/>
      <c r="M80" s="63"/>
      <c r="N80" s="63"/>
      <c r="O80" s="63"/>
      <c r="P80" s="63"/>
      <c r="Q80" s="63"/>
      <c r="R80" s="63"/>
      <c r="S80" s="63"/>
      <c r="T80" s="64"/>
      <c r="U80" s="63"/>
      <c r="V80" s="63"/>
      <c r="W80" s="63"/>
      <c r="X80" s="63"/>
      <c r="Y80" s="63"/>
    </row>
    <row r="81" spans="1:25" hidden="1">
      <c r="A81" s="65">
        <v>32</v>
      </c>
      <c r="B81" s="63"/>
      <c r="C81" s="63"/>
      <c r="D81" s="63"/>
      <c r="E81" s="63"/>
      <c r="F81" s="63"/>
      <c r="G81" s="63"/>
      <c r="H81" s="63"/>
      <c r="I81" s="63"/>
      <c r="J81" s="63"/>
      <c r="K81" s="63"/>
      <c r="L81" s="63"/>
      <c r="M81" s="63"/>
      <c r="N81" s="63"/>
      <c r="O81" s="63"/>
      <c r="P81" s="63"/>
      <c r="Q81" s="63"/>
      <c r="R81" s="63"/>
      <c r="S81" s="63"/>
      <c r="T81" s="64"/>
      <c r="U81" s="63"/>
      <c r="V81" s="63"/>
      <c r="W81" s="63"/>
      <c r="X81" s="63"/>
      <c r="Y81" s="63"/>
    </row>
    <row r="82" spans="1:25" hidden="1">
      <c r="A82" s="65">
        <v>33</v>
      </c>
      <c r="B82" s="63"/>
      <c r="C82" s="63"/>
      <c r="D82" s="63"/>
      <c r="E82" s="63"/>
      <c r="F82" s="63"/>
      <c r="G82" s="63"/>
      <c r="H82" s="63"/>
      <c r="I82" s="63"/>
      <c r="J82" s="63"/>
      <c r="K82" s="63"/>
      <c r="L82" s="63"/>
      <c r="M82" s="63"/>
      <c r="N82" s="63"/>
      <c r="O82" s="63"/>
      <c r="P82" s="63"/>
      <c r="Q82" s="63"/>
      <c r="R82" s="63"/>
      <c r="S82" s="63"/>
      <c r="T82" s="64"/>
      <c r="U82" s="63"/>
      <c r="V82" s="63"/>
      <c r="W82" s="63"/>
      <c r="X82" s="63"/>
      <c r="Y82" s="63"/>
    </row>
    <row r="83" spans="1:25" hidden="1">
      <c r="A83" s="65">
        <v>34</v>
      </c>
      <c r="B83" s="63"/>
      <c r="C83" s="63"/>
      <c r="D83" s="63"/>
      <c r="E83" s="63"/>
      <c r="F83" s="63"/>
      <c r="G83" s="63"/>
      <c r="H83" s="63"/>
      <c r="I83" s="63"/>
      <c r="J83" s="63"/>
      <c r="K83" s="63"/>
      <c r="L83" s="63"/>
      <c r="M83" s="63"/>
      <c r="N83" s="63"/>
      <c r="O83" s="63"/>
      <c r="P83" s="63"/>
      <c r="Q83" s="63"/>
      <c r="R83" s="63"/>
      <c r="S83" s="63"/>
      <c r="T83" s="64"/>
      <c r="U83" s="63"/>
      <c r="V83" s="63"/>
      <c r="W83" s="63"/>
      <c r="X83" s="63"/>
      <c r="Y83" s="63"/>
    </row>
    <row r="84" spans="1:25" hidden="1">
      <c r="A84" s="65">
        <v>35</v>
      </c>
      <c r="B84" s="63"/>
      <c r="C84" s="63"/>
      <c r="D84" s="63"/>
      <c r="E84" s="63"/>
      <c r="F84" s="63"/>
      <c r="G84" s="63"/>
      <c r="H84" s="63"/>
      <c r="I84" s="63"/>
      <c r="J84" s="63"/>
      <c r="K84" s="63"/>
      <c r="L84" s="63"/>
      <c r="M84" s="63"/>
      <c r="N84" s="63"/>
      <c r="O84" s="63"/>
      <c r="P84" s="63"/>
      <c r="Q84" s="63"/>
      <c r="R84" s="63"/>
      <c r="S84" s="63"/>
      <c r="T84" s="64"/>
      <c r="U84" s="63"/>
      <c r="V84" s="63"/>
      <c r="W84" s="63"/>
      <c r="X84" s="63"/>
      <c r="Y84" s="63"/>
    </row>
    <row r="85" spans="1:25" hidden="1">
      <c r="A85" s="65">
        <v>36</v>
      </c>
    </row>
    <row r="86" spans="1:25" hidden="1">
      <c r="A86" s="65">
        <v>37</v>
      </c>
    </row>
    <row r="87" spans="1:25" hidden="1">
      <c r="A87" s="65">
        <v>38</v>
      </c>
    </row>
    <row r="88" spans="1:25" hidden="1">
      <c r="A88" s="65">
        <v>39</v>
      </c>
    </row>
    <row r="89" spans="1:25" hidden="1">
      <c r="A89" s="65">
        <v>40</v>
      </c>
    </row>
  </sheetData>
  <sheetProtection algorithmName="SHA-512" hashValue="7Wk/jB0WiQjR2FWsGcgCCJOBf1IFB7/0owL0M1nZY/SRA7xGuWPHZcskmW7DkhnHgE7DWZ4fIj+fW9OIIwOGCw==" saltValue="cXJ+8Rg3fbhn0NM8sfCIaw==" spinCount="100000" sheet="1" selectLockedCells="1"/>
  <protectedRanges>
    <protectedRange sqref="E41:F43" name="Range15"/>
    <protectedRange sqref="N41:O43" name="Range14"/>
    <protectedRange sqref="G8:M8 Q8 T33 T30 R7:T8 E7:M7 N7:N8 O7:Q7 C7:D8 T11 T14:T15" name="Range1_1"/>
    <protectedRange sqref="T22:T25" name="Range3_1"/>
    <protectedRange sqref="F30:O30 T27:T29" name="Range5_1"/>
    <protectedRange sqref="K37" name="Range8"/>
    <protectedRange sqref="K38" name="Range9_1"/>
    <protectedRange sqref="E40:I40" name="Range10_1"/>
    <protectedRange sqref="R40:S40" name="Range11_1"/>
    <protectedRange sqref="P30" name="Range5_4"/>
    <protectedRange sqref="Q21:S29" name="Range5_1_1"/>
    <protectedRange sqref="N21:P29" name="Range5_2"/>
    <protectedRange sqref="P33 P15" name="Range1_1_1"/>
    <protectedRange sqref="P8" name="Range1_2"/>
    <protectedRange sqref="AH21:AH29 AJ21:AJ29" name="Range5_1_1_1"/>
  </protectedRanges>
  <mergeCells count="61">
    <mergeCell ref="B14:K14"/>
    <mergeCell ref="K15:M15"/>
    <mergeCell ref="Q15:S15"/>
    <mergeCell ref="B4:T4"/>
    <mergeCell ref="B7:N7"/>
    <mergeCell ref="K8:M8"/>
    <mergeCell ref="Q8:S8"/>
    <mergeCell ref="B11:G11"/>
    <mergeCell ref="Q11:S11"/>
    <mergeCell ref="V15:Z15"/>
    <mergeCell ref="B17:H17"/>
    <mergeCell ref="C20:J20"/>
    <mergeCell ref="K20:M20"/>
    <mergeCell ref="N20:P20"/>
    <mergeCell ref="Q20:S20"/>
    <mergeCell ref="Q18:S18"/>
    <mergeCell ref="C21:J21"/>
    <mergeCell ref="K21:M21"/>
    <mergeCell ref="N21:P21"/>
    <mergeCell ref="Q21:S21"/>
    <mergeCell ref="V21:Z29"/>
    <mergeCell ref="C22:J22"/>
    <mergeCell ref="K22:M22"/>
    <mergeCell ref="N22:P22"/>
    <mergeCell ref="Q22:S22"/>
    <mergeCell ref="C23:J23"/>
    <mergeCell ref="K23:M23"/>
    <mergeCell ref="N23:P23"/>
    <mergeCell ref="Q23:S23"/>
    <mergeCell ref="C24:J24"/>
    <mergeCell ref="K24:M24"/>
    <mergeCell ref="N24:P24"/>
    <mergeCell ref="Q24:S24"/>
    <mergeCell ref="C25:J25"/>
    <mergeCell ref="K25:M25"/>
    <mergeCell ref="N25:P25"/>
    <mergeCell ref="Q25:S25"/>
    <mergeCell ref="C26:J26"/>
    <mergeCell ref="K26:M26"/>
    <mergeCell ref="N26:P26"/>
    <mergeCell ref="Q26:S26"/>
    <mergeCell ref="C27:J27"/>
    <mergeCell ref="K27:M27"/>
    <mergeCell ref="N27:P27"/>
    <mergeCell ref="Q27:S27"/>
    <mergeCell ref="C28:J28"/>
    <mergeCell ref="K28:M28"/>
    <mergeCell ref="N28:P28"/>
    <mergeCell ref="Q28:S28"/>
    <mergeCell ref="C29:J29"/>
    <mergeCell ref="K29:M29"/>
    <mergeCell ref="N29:P29"/>
    <mergeCell ref="Q29:S29"/>
    <mergeCell ref="Q36:S36"/>
    <mergeCell ref="V36:Z36"/>
    <mergeCell ref="Q30:S30"/>
    <mergeCell ref="B32:J32"/>
    <mergeCell ref="K33:M33"/>
    <mergeCell ref="Q33:S33"/>
    <mergeCell ref="V33:Z33"/>
    <mergeCell ref="B35:F35"/>
  </mergeCells>
  <dataValidations count="1">
    <dataValidation type="list" allowBlank="1" showErrorMessage="1" sqref="WVJ983061:WVJ983069 IX21:IX29 ST21:ST29 ACP21:ACP29 AML21:AML29 AWH21:AWH29 BGD21:BGD29 BPZ21:BPZ29 BZV21:BZV29 CJR21:CJR29 CTN21:CTN29 DDJ21:DDJ29 DNF21:DNF29 DXB21:DXB29 EGX21:EGX29 EQT21:EQT29 FAP21:FAP29 FKL21:FKL29 FUH21:FUH29 GED21:GED29 GNZ21:GNZ29 GXV21:GXV29 HHR21:HHR29 HRN21:HRN29 IBJ21:IBJ29 ILF21:ILF29 IVB21:IVB29 JEX21:JEX29 JOT21:JOT29 JYP21:JYP29 KIL21:KIL29 KSH21:KSH29 LCD21:LCD29 LLZ21:LLZ29 LVV21:LVV29 MFR21:MFR29 MPN21:MPN29 MZJ21:MZJ29 NJF21:NJF29 NTB21:NTB29 OCX21:OCX29 OMT21:OMT29 OWP21:OWP29 PGL21:PGL29 PQH21:PQH29 QAD21:QAD29 QJZ21:QJZ29 QTV21:QTV29 RDR21:RDR29 RNN21:RNN29 RXJ21:RXJ29 SHF21:SHF29 SRB21:SRB29 TAX21:TAX29 TKT21:TKT29 TUP21:TUP29 UEL21:UEL29 UOH21:UOH29 UYD21:UYD29 VHZ21:VHZ29 VRV21:VRV29 WBR21:WBR29 WLN21:WLN29 WVJ21:WVJ29 B65557:B65565 IX65557:IX65565 ST65557:ST65565 ACP65557:ACP65565 AML65557:AML65565 AWH65557:AWH65565 BGD65557:BGD65565 BPZ65557:BPZ65565 BZV65557:BZV65565 CJR65557:CJR65565 CTN65557:CTN65565 DDJ65557:DDJ65565 DNF65557:DNF65565 DXB65557:DXB65565 EGX65557:EGX65565 EQT65557:EQT65565 FAP65557:FAP65565 FKL65557:FKL65565 FUH65557:FUH65565 GED65557:GED65565 GNZ65557:GNZ65565 GXV65557:GXV65565 HHR65557:HHR65565 HRN65557:HRN65565 IBJ65557:IBJ65565 ILF65557:ILF65565 IVB65557:IVB65565 JEX65557:JEX65565 JOT65557:JOT65565 JYP65557:JYP65565 KIL65557:KIL65565 KSH65557:KSH65565 LCD65557:LCD65565 LLZ65557:LLZ65565 LVV65557:LVV65565 MFR65557:MFR65565 MPN65557:MPN65565 MZJ65557:MZJ65565 NJF65557:NJF65565 NTB65557:NTB65565 OCX65557:OCX65565 OMT65557:OMT65565 OWP65557:OWP65565 PGL65557:PGL65565 PQH65557:PQH65565 QAD65557:QAD65565 QJZ65557:QJZ65565 QTV65557:QTV65565 RDR65557:RDR65565 RNN65557:RNN65565 RXJ65557:RXJ65565 SHF65557:SHF65565 SRB65557:SRB65565 TAX65557:TAX65565 TKT65557:TKT65565 TUP65557:TUP65565 UEL65557:UEL65565 UOH65557:UOH65565 UYD65557:UYD65565 VHZ65557:VHZ65565 VRV65557:VRV65565 WBR65557:WBR65565 WLN65557:WLN65565 WVJ65557:WVJ65565 B131093:B131101 IX131093:IX131101 ST131093:ST131101 ACP131093:ACP131101 AML131093:AML131101 AWH131093:AWH131101 BGD131093:BGD131101 BPZ131093:BPZ131101 BZV131093:BZV131101 CJR131093:CJR131101 CTN131093:CTN131101 DDJ131093:DDJ131101 DNF131093:DNF131101 DXB131093:DXB131101 EGX131093:EGX131101 EQT131093:EQT131101 FAP131093:FAP131101 FKL131093:FKL131101 FUH131093:FUH131101 GED131093:GED131101 GNZ131093:GNZ131101 GXV131093:GXV131101 HHR131093:HHR131101 HRN131093:HRN131101 IBJ131093:IBJ131101 ILF131093:ILF131101 IVB131093:IVB131101 JEX131093:JEX131101 JOT131093:JOT131101 JYP131093:JYP131101 KIL131093:KIL131101 KSH131093:KSH131101 LCD131093:LCD131101 LLZ131093:LLZ131101 LVV131093:LVV131101 MFR131093:MFR131101 MPN131093:MPN131101 MZJ131093:MZJ131101 NJF131093:NJF131101 NTB131093:NTB131101 OCX131093:OCX131101 OMT131093:OMT131101 OWP131093:OWP131101 PGL131093:PGL131101 PQH131093:PQH131101 QAD131093:QAD131101 QJZ131093:QJZ131101 QTV131093:QTV131101 RDR131093:RDR131101 RNN131093:RNN131101 RXJ131093:RXJ131101 SHF131093:SHF131101 SRB131093:SRB131101 TAX131093:TAX131101 TKT131093:TKT131101 TUP131093:TUP131101 UEL131093:UEL131101 UOH131093:UOH131101 UYD131093:UYD131101 VHZ131093:VHZ131101 VRV131093:VRV131101 WBR131093:WBR131101 WLN131093:WLN131101 WVJ131093:WVJ131101 B196629:B196637 IX196629:IX196637 ST196629:ST196637 ACP196629:ACP196637 AML196629:AML196637 AWH196629:AWH196637 BGD196629:BGD196637 BPZ196629:BPZ196637 BZV196629:BZV196637 CJR196629:CJR196637 CTN196629:CTN196637 DDJ196629:DDJ196637 DNF196629:DNF196637 DXB196629:DXB196637 EGX196629:EGX196637 EQT196629:EQT196637 FAP196629:FAP196637 FKL196629:FKL196637 FUH196629:FUH196637 GED196629:GED196637 GNZ196629:GNZ196637 GXV196629:GXV196637 HHR196629:HHR196637 HRN196629:HRN196637 IBJ196629:IBJ196637 ILF196629:ILF196637 IVB196629:IVB196637 JEX196629:JEX196637 JOT196629:JOT196637 JYP196629:JYP196637 KIL196629:KIL196637 KSH196629:KSH196637 LCD196629:LCD196637 LLZ196629:LLZ196637 LVV196629:LVV196637 MFR196629:MFR196637 MPN196629:MPN196637 MZJ196629:MZJ196637 NJF196629:NJF196637 NTB196629:NTB196637 OCX196629:OCX196637 OMT196629:OMT196637 OWP196629:OWP196637 PGL196629:PGL196637 PQH196629:PQH196637 QAD196629:QAD196637 QJZ196629:QJZ196637 QTV196629:QTV196637 RDR196629:RDR196637 RNN196629:RNN196637 RXJ196629:RXJ196637 SHF196629:SHF196637 SRB196629:SRB196637 TAX196629:TAX196637 TKT196629:TKT196637 TUP196629:TUP196637 UEL196629:UEL196637 UOH196629:UOH196637 UYD196629:UYD196637 VHZ196629:VHZ196637 VRV196629:VRV196637 WBR196629:WBR196637 WLN196629:WLN196637 WVJ196629:WVJ196637 B262165:B262173 IX262165:IX262173 ST262165:ST262173 ACP262165:ACP262173 AML262165:AML262173 AWH262165:AWH262173 BGD262165:BGD262173 BPZ262165:BPZ262173 BZV262165:BZV262173 CJR262165:CJR262173 CTN262165:CTN262173 DDJ262165:DDJ262173 DNF262165:DNF262173 DXB262165:DXB262173 EGX262165:EGX262173 EQT262165:EQT262173 FAP262165:FAP262173 FKL262165:FKL262173 FUH262165:FUH262173 GED262165:GED262173 GNZ262165:GNZ262173 GXV262165:GXV262173 HHR262165:HHR262173 HRN262165:HRN262173 IBJ262165:IBJ262173 ILF262165:ILF262173 IVB262165:IVB262173 JEX262165:JEX262173 JOT262165:JOT262173 JYP262165:JYP262173 KIL262165:KIL262173 KSH262165:KSH262173 LCD262165:LCD262173 LLZ262165:LLZ262173 LVV262165:LVV262173 MFR262165:MFR262173 MPN262165:MPN262173 MZJ262165:MZJ262173 NJF262165:NJF262173 NTB262165:NTB262173 OCX262165:OCX262173 OMT262165:OMT262173 OWP262165:OWP262173 PGL262165:PGL262173 PQH262165:PQH262173 QAD262165:QAD262173 QJZ262165:QJZ262173 QTV262165:QTV262173 RDR262165:RDR262173 RNN262165:RNN262173 RXJ262165:RXJ262173 SHF262165:SHF262173 SRB262165:SRB262173 TAX262165:TAX262173 TKT262165:TKT262173 TUP262165:TUP262173 UEL262165:UEL262173 UOH262165:UOH262173 UYD262165:UYD262173 VHZ262165:VHZ262173 VRV262165:VRV262173 WBR262165:WBR262173 WLN262165:WLN262173 WVJ262165:WVJ262173 B327701:B327709 IX327701:IX327709 ST327701:ST327709 ACP327701:ACP327709 AML327701:AML327709 AWH327701:AWH327709 BGD327701:BGD327709 BPZ327701:BPZ327709 BZV327701:BZV327709 CJR327701:CJR327709 CTN327701:CTN327709 DDJ327701:DDJ327709 DNF327701:DNF327709 DXB327701:DXB327709 EGX327701:EGX327709 EQT327701:EQT327709 FAP327701:FAP327709 FKL327701:FKL327709 FUH327701:FUH327709 GED327701:GED327709 GNZ327701:GNZ327709 GXV327701:GXV327709 HHR327701:HHR327709 HRN327701:HRN327709 IBJ327701:IBJ327709 ILF327701:ILF327709 IVB327701:IVB327709 JEX327701:JEX327709 JOT327701:JOT327709 JYP327701:JYP327709 KIL327701:KIL327709 KSH327701:KSH327709 LCD327701:LCD327709 LLZ327701:LLZ327709 LVV327701:LVV327709 MFR327701:MFR327709 MPN327701:MPN327709 MZJ327701:MZJ327709 NJF327701:NJF327709 NTB327701:NTB327709 OCX327701:OCX327709 OMT327701:OMT327709 OWP327701:OWP327709 PGL327701:PGL327709 PQH327701:PQH327709 QAD327701:QAD327709 QJZ327701:QJZ327709 QTV327701:QTV327709 RDR327701:RDR327709 RNN327701:RNN327709 RXJ327701:RXJ327709 SHF327701:SHF327709 SRB327701:SRB327709 TAX327701:TAX327709 TKT327701:TKT327709 TUP327701:TUP327709 UEL327701:UEL327709 UOH327701:UOH327709 UYD327701:UYD327709 VHZ327701:VHZ327709 VRV327701:VRV327709 WBR327701:WBR327709 WLN327701:WLN327709 WVJ327701:WVJ327709 B393237:B393245 IX393237:IX393245 ST393237:ST393245 ACP393237:ACP393245 AML393237:AML393245 AWH393237:AWH393245 BGD393237:BGD393245 BPZ393237:BPZ393245 BZV393237:BZV393245 CJR393237:CJR393245 CTN393237:CTN393245 DDJ393237:DDJ393245 DNF393237:DNF393245 DXB393237:DXB393245 EGX393237:EGX393245 EQT393237:EQT393245 FAP393237:FAP393245 FKL393237:FKL393245 FUH393237:FUH393245 GED393237:GED393245 GNZ393237:GNZ393245 GXV393237:GXV393245 HHR393237:HHR393245 HRN393237:HRN393245 IBJ393237:IBJ393245 ILF393237:ILF393245 IVB393237:IVB393245 JEX393237:JEX393245 JOT393237:JOT393245 JYP393237:JYP393245 KIL393237:KIL393245 KSH393237:KSH393245 LCD393237:LCD393245 LLZ393237:LLZ393245 LVV393237:LVV393245 MFR393237:MFR393245 MPN393237:MPN393245 MZJ393237:MZJ393245 NJF393237:NJF393245 NTB393237:NTB393245 OCX393237:OCX393245 OMT393237:OMT393245 OWP393237:OWP393245 PGL393237:PGL393245 PQH393237:PQH393245 QAD393237:QAD393245 QJZ393237:QJZ393245 QTV393237:QTV393245 RDR393237:RDR393245 RNN393237:RNN393245 RXJ393237:RXJ393245 SHF393237:SHF393245 SRB393237:SRB393245 TAX393237:TAX393245 TKT393237:TKT393245 TUP393237:TUP393245 UEL393237:UEL393245 UOH393237:UOH393245 UYD393237:UYD393245 VHZ393237:VHZ393245 VRV393237:VRV393245 WBR393237:WBR393245 WLN393237:WLN393245 WVJ393237:WVJ393245 B458773:B458781 IX458773:IX458781 ST458773:ST458781 ACP458773:ACP458781 AML458773:AML458781 AWH458773:AWH458781 BGD458773:BGD458781 BPZ458773:BPZ458781 BZV458773:BZV458781 CJR458773:CJR458781 CTN458773:CTN458781 DDJ458773:DDJ458781 DNF458773:DNF458781 DXB458773:DXB458781 EGX458773:EGX458781 EQT458773:EQT458781 FAP458773:FAP458781 FKL458773:FKL458781 FUH458773:FUH458781 GED458773:GED458781 GNZ458773:GNZ458781 GXV458773:GXV458781 HHR458773:HHR458781 HRN458773:HRN458781 IBJ458773:IBJ458781 ILF458773:ILF458781 IVB458773:IVB458781 JEX458773:JEX458781 JOT458773:JOT458781 JYP458773:JYP458781 KIL458773:KIL458781 KSH458773:KSH458781 LCD458773:LCD458781 LLZ458773:LLZ458781 LVV458773:LVV458781 MFR458773:MFR458781 MPN458773:MPN458781 MZJ458773:MZJ458781 NJF458773:NJF458781 NTB458773:NTB458781 OCX458773:OCX458781 OMT458773:OMT458781 OWP458773:OWP458781 PGL458773:PGL458781 PQH458773:PQH458781 QAD458773:QAD458781 QJZ458773:QJZ458781 QTV458773:QTV458781 RDR458773:RDR458781 RNN458773:RNN458781 RXJ458773:RXJ458781 SHF458773:SHF458781 SRB458773:SRB458781 TAX458773:TAX458781 TKT458773:TKT458781 TUP458773:TUP458781 UEL458773:UEL458781 UOH458773:UOH458781 UYD458773:UYD458781 VHZ458773:VHZ458781 VRV458773:VRV458781 WBR458773:WBR458781 WLN458773:WLN458781 WVJ458773:WVJ458781 B524309:B524317 IX524309:IX524317 ST524309:ST524317 ACP524309:ACP524317 AML524309:AML524317 AWH524309:AWH524317 BGD524309:BGD524317 BPZ524309:BPZ524317 BZV524309:BZV524317 CJR524309:CJR524317 CTN524309:CTN524317 DDJ524309:DDJ524317 DNF524309:DNF524317 DXB524309:DXB524317 EGX524309:EGX524317 EQT524309:EQT524317 FAP524309:FAP524317 FKL524309:FKL524317 FUH524309:FUH524317 GED524309:GED524317 GNZ524309:GNZ524317 GXV524309:GXV524317 HHR524309:HHR524317 HRN524309:HRN524317 IBJ524309:IBJ524317 ILF524309:ILF524317 IVB524309:IVB524317 JEX524309:JEX524317 JOT524309:JOT524317 JYP524309:JYP524317 KIL524309:KIL524317 KSH524309:KSH524317 LCD524309:LCD524317 LLZ524309:LLZ524317 LVV524309:LVV524317 MFR524309:MFR524317 MPN524309:MPN524317 MZJ524309:MZJ524317 NJF524309:NJF524317 NTB524309:NTB524317 OCX524309:OCX524317 OMT524309:OMT524317 OWP524309:OWP524317 PGL524309:PGL524317 PQH524309:PQH524317 QAD524309:QAD524317 QJZ524309:QJZ524317 QTV524309:QTV524317 RDR524309:RDR524317 RNN524309:RNN524317 RXJ524309:RXJ524317 SHF524309:SHF524317 SRB524309:SRB524317 TAX524309:TAX524317 TKT524309:TKT524317 TUP524309:TUP524317 UEL524309:UEL524317 UOH524309:UOH524317 UYD524309:UYD524317 VHZ524309:VHZ524317 VRV524309:VRV524317 WBR524309:WBR524317 WLN524309:WLN524317 WVJ524309:WVJ524317 B589845:B589853 IX589845:IX589853 ST589845:ST589853 ACP589845:ACP589853 AML589845:AML589853 AWH589845:AWH589853 BGD589845:BGD589853 BPZ589845:BPZ589853 BZV589845:BZV589853 CJR589845:CJR589853 CTN589845:CTN589853 DDJ589845:DDJ589853 DNF589845:DNF589853 DXB589845:DXB589853 EGX589845:EGX589853 EQT589845:EQT589853 FAP589845:FAP589853 FKL589845:FKL589853 FUH589845:FUH589853 GED589845:GED589853 GNZ589845:GNZ589853 GXV589845:GXV589853 HHR589845:HHR589853 HRN589845:HRN589853 IBJ589845:IBJ589853 ILF589845:ILF589853 IVB589845:IVB589853 JEX589845:JEX589853 JOT589845:JOT589853 JYP589845:JYP589853 KIL589845:KIL589853 KSH589845:KSH589853 LCD589845:LCD589853 LLZ589845:LLZ589853 LVV589845:LVV589853 MFR589845:MFR589853 MPN589845:MPN589853 MZJ589845:MZJ589853 NJF589845:NJF589853 NTB589845:NTB589853 OCX589845:OCX589853 OMT589845:OMT589853 OWP589845:OWP589853 PGL589845:PGL589853 PQH589845:PQH589853 QAD589845:QAD589853 QJZ589845:QJZ589853 QTV589845:QTV589853 RDR589845:RDR589853 RNN589845:RNN589853 RXJ589845:RXJ589853 SHF589845:SHF589853 SRB589845:SRB589853 TAX589845:TAX589853 TKT589845:TKT589853 TUP589845:TUP589853 UEL589845:UEL589853 UOH589845:UOH589853 UYD589845:UYD589853 VHZ589845:VHZ589853 VRV589845:VRV589853 WBR589845:WBR589853 WLN589845:WLN589853 WVJ589845:WVJ589853 B655381:B655389 IX655381:IX655389 ST655381:ST655389 ACP655381:ACP655389 AML655381:AML655389 AWH655381:AWH655389 BGD655381:BGD655389 BPZ655381:BPZ655389 BZV655381:BZV655389 CJR655381:CJR655389 CTN655381:CTN655389 DDJ655381:DDJ655389 DNF655381:DNF655389 DXB655381:DXB655389 EGX655381:EGX655389 EQT655381:EQT655389 FAP655381:FAP655389 FKL655381:FKL655389 FUH655381:FUH655389 GED655381:GED655389 GNZ655381:GNZ655389 GXV655381:GXV655389 HHR655381:HHR655389 HRN655381:HRN655389 IBJ655381:IBJ655389 ILF655381:ILF655389 IVB655381:IVB655389 JEX655381:JEX655389 JOT655381:JOT655389 JYP655381:JYP655389 KIL655381:KIL655389 KSH655381:KSH655389 LCD655381:LCD655389 LLZ655381:LLZ655389 LVV655381:LVV655389 MFR655381:MFR655389 MPN655381:MPN655389 MZJ655381:MZJ655389 NJF655381:NJF655389 NTB655381:NTB655389 OCX655381:OCX655389 OMT655381:OMT655389 OWP655381:OWP655389 PGL655381:PGL655389 PQH655381:PQH655389 QAD655381:QAD655389 QJZ655381:QJZ655389 QTV655381:QTV655389 RDR655381:RDR655389 RNN655381:RNN655389 RXJ655381:RXJ655389 SHF655381:SHF655389 SRB655381:SRB655389 TAX655381:TAX655389 TKT655381:TKT655389 TUP655381:TUP655389 UEL655381:UEL655389 UOH655381:UOH655389 UYD655381:UYD655389 VHZ655381:VHZ655389 VRV655381:VRV655389 WBR655381:WBR655389 WLN655381:WLN655389 WVJ655381:WVJ655389 B720917:B720925 IX720917:IX720925 ST720917:ST720925 ACP720917:ACP720925 AML720917:AML720925 AWH720917:AWH720925 BGD720917:BGD720925 BPZ720917:BPZ720925 BZV720917:BZV720925 CJR720917:CJR720925 CTN720917:CTN720925 DDJ720917:DDJ720925 DNF720917:DNF720925 DXB720917:DXB720925 EGX720917:EGX720925 EQT720917:EQT720925 FAP720917:FAP720925 FKL720917:FKL720925 FUH720917:FUH720925 GED720917:GED720925 GNZ720917:GNZ720925 GXV720917:GXV720925 HHR720917:HHR720925 HRN720917:HRN720925 IBJ720917:IBJ720925 ILF720917:ILF720925 IVB720917:IVB720925 JEX720917:JEX720925 JOT720917:JOT720925 JYP720917:JYP720925 KIL720917:KIL720925 KSH720917:KSH720925 LCD720917:LCD720925 LLZ720917:LLZ720925 LVV720917:LVV720925 MFR720917:MFR720925 MPN720917:MPN720925 MZJ720917:MZJ720925 NJF720917:NJF720925 NTB720917:NTB720925 OCX720917:OCX720925 OMT720917:OMT720925 OWP720917:OWP720925 PGL720917:PGL720925 PQH720917:PQH720925 QAD720917:QAD720925 QJZ720917:QJZ720925 QTV720917:QTV720925 RDR720917:RDR720925 RNN720917:RNN720925 RXJ720917:RXJ720925 SHF720917:SHF720925 SRB720917:SRB720925 TAX720917:TAX720925 TKT720917:TKT720925 TUP720917:TUP720925 UEL720917:UEL720925 UOH720917:UOH720925 UYD720917:UYD720925 VHZ720917:VHZ720925 VRV720917:VRV720925 WBR720917:WBR720925 WLN720917:WLN720925 WVJ720917:WVJ720925 B786453:B786461 IX786453:IX786461 ST786453:ST786461 ACP786453:ACP786461 AML786453:AML786461 AWH786453:AWH786461 BGD786453:BGD786461 BPZ786453:BPZ786461 BZV786453:BZV786461 CJR786453:CJR786461 CTN786453:CTN786461 DDJ786453:DDJ786461 DNF786453:DNF786461 DXB786453:DXB786461 EGX786453:EGX786461 EQT786453:EQT786461 FAP786453:FAP786461 FKL786453:FKL786461 FUH786453:FUH786461 GED786453:GED786461 GNZ786453:GNZ786461 GXV786453:GXV786461 HHR786453:HHR786461 HRN786453:HRN786461 IBJ786453:IBJ786461 ILF786453:ILF786461 IVB786453:IVB786461 JEX786453:JEX786461 JOT786453:JOT786461 JYP786453:JYP786461 KIL786453:KIL786461 KSH786453:KSH786461 LCD786453:LCD786461 LLZ786453:LLZ786461 LVV786453:LVV786461 MFR786453:MFR786461 MPN786453:MPN786461 MZJ786453:MZJ786461 NJF786453:NJF786461 NTB786453:NTB786461 OCX786453:OCX786461 OMT786453:OMT786461 OWP786453:OWP786461 PGL786453:PGL786461 PQH786453:PQH786461 QAD786453:QAD786461 QJZ786453:QJZ786461 QTV786453:QTV786461 RDR786453:RDR786461 RNN786453:RNN786461 RXJ786453:RXJ786461 SHF786453:SHF786461 SRB786453:SRB786461 TAX786453:TAX786461 TKT786453:TKT786461 TUP786453:TUP786461 UEL786453:UEL786461 UOH786453:UOH786461 UYD786453:UYD786461 VHZ786453:VHZ786461 VRV786453:VRV786461 WBR786453:WBR786461 WLN786453:WLN786461 WVJ786453:WVJ786461 B851989:B851997 IX851989:IX851997 ST851989:ST851997 ACP851989:ACP851997 AML851989:AML851997 AWH851989:AWH851997 BGD851989:BGD851997 BPZ851989:BPZ851997 BZV851989:BZV851997 CJR851989:CJR851997 CTN851989:CTN851997 DDJ851989:DDJ851997 DNF851989:DNF851997 DXB851989:DXB851997 EGX851989:EGX851997 EQT851989:EQT851997 FAP851989:FAP851997 FKL851989:FKL851997 FUH851989:FUH851997 GED851989:GED851997 GNZ851989:GNZ851997 GXV851989:GXV851997 HHR851989:HHR851997 HRN851989:HRN851997 IBJ851989:IBJ851997 ILF851989:ILF851997 IVB851989:IVB851997 JEX851989:JEX851997 JOT851989:JOT851997 JYP851989:JYP851997 KIL851989:KIL851997 KSH851989:KSH851997 LCD851989:LCD851997 LLZ851989:LLZ851997 LVV851989:LVV851997 MFR851989:MFR851997 MPN851989:MPN851997 MZJ851989:MZJ851997 NJF851989:NJF851997 NTB851989:NTB851997 OCX851989:OCX851997 OMT851989:OMT851997 OWP851989:OWP851997 PGL851989:PGL851997 PQH851989:PQH851997 QAD851989:QAD851997 QJZ851989:QJZ851997 QTV851989:QTV851997 RDR851989:RDR851997 RNN851989:RNN851997 RXJ851989:RXJ851997 SHF851989:SHF851997 SRB851989:SRB851997 TAX851989:TAX851997 TKT851989:TKT851997 TUP851989:TUP851997 UEL851989:UEL851997 UOH851989:UOH851997 UYD851989:UYD851997 VHZ851989:VHZ851997 VRV851989:VRV851997 WBR851989:WBR851997 WLN851989:WLN851997 WVJ851989:WVJ851997 B917525:B917533 IX917525:IX917533 ST917525:ST917533 ACP917525:ACP917533 AML917525:AML917533 AWH917525:AWH917533 BGD917525:BGD917533 BPZ917525:BPZ917533 BZV917525:BZV917533 CJR917525:CJR917533 CTN917525:CTN917533 DDJ917525:DDJ917533 DNF917525:DNF917533 DXB917525:DXB917533 EGX917525:EGX917533 EQT917525:EQT917533 FAP917525:FAP917533 FKL917525:FKL917533 FUH917525:FUH917533 GED917525:GED917533 GNZ917525:GNZ917533 GXV917525:GXV917533 HHR917525:HHR917533 HRN917525:HRN917533 IBJ917525:IBJ917533 ILF917525:ILF917533 IVB917525:IVB917533 JEX917525:JEX917533 JOT917525:JOT917533 JYP917525:JYP917533 KIL917525:KIL917533 KSH917525:KSH917533 LCD917525:LCD917533 LLZ917525:LLZ917533 LVV917525:LVV917533 MFR917525:MFR917533 MPN917525:MPN917533 MZJ917525:MZJ917533 NJF917525:NJF917533 NTB917525:NTB917533 OCX917525:OCX917533 OMT917525:OMT917533 OWP917525:OWP917533 PGL917525:PGL917533 PQH917525:PQH917533 QAD917525:QAD917533 QJZ917525:QJZ917533 QTV917525:QTV917533 RDR917525:RDR917533 RNN917525:RNN917533 RXJ917525:RXJ917533 SHF917525:SHF917533 SRB917525:SRB917533 TAX917525:TAX917533 TKT917525:TKT917533 TUP917525:TUP917533 UEL917525:UEL917533 UOH917525:UOH917533 UYD917525:UYD917533 VHZ917525:VHZ917533 VRV917525:VRV917533 WBR917525:WBR917533 WLN917525:WLN917533 WVJ917525:WVJ917533 B983061:B983069 IX983061:IX983069 ST983061:ST983069 ACP983061:ACP983069 AML983061:AML983069 AWH983061:AWH983069 BGD983061:BGD983069 BPZ983061:BPZ983069 BZV983061:BZV983069 CJR983061:CJR983069 CTN983061:CTN983069 DDJ983061:DDJ983069 DNF983061:DNF983069 DXB983061:DXB983069 EGX983061:EGX983069 EQT983061:EQT983069 FAP983061:FAP983069 FKL983061:FKL983069 FUH983061:FUH983069 GED983061:GED983069 GNZ983061:GNZ983069 GXV983061:GXV983069 HHR983061:HHR983069 HRN983061:HRN983069 IBJ983061:IBJ983069 ILF983061:ILF983069 IVB983061:IVB983069 JEX983061:JEX983069 JOT983061:JOT983069 JYP983061:JYP983069 KIL983061:KIL983069 KSH983061:KSH983069 LCD983061:LCD983069 LLZ983061:LLZ983069 LVV983061:LVV983069 MFR983061:MFR983069 MPN983061:MPN983069 MZJ983061:MZJ983069 NJF983061:NJF983069 NTB983061:NTB983069 OCX983061:OCX983069 OMT983061:OMT983069 OWP983061:OWP983069 PGL983061:PGL983069 PQH983061:PQH983069 QAD983061:QAD983069 QJZ983061:QJZ983069 QTV983061:QTV983069 RDR983061:RDR983069 RNN983061:RNN983069 RXJ983061:RXJ983069 SHF983061:SHF983069 SRB983061:SRB983069 TAX983061:TAX983069 TKT983061:TKT983069 TUP983061:TUP983069 UEL983061:UEL983069 UOH983061:UOH983069 UYD983061:UYD983069 VHZ983061:VHZ983069 VRV983061:VRV983069 WBR983061:WBR983069 WLN983061:WLN983069 B22:B29 B21" xr:uid="{457C6676-A12A-4D95-8B6C-93583A59195D}">
      <formula1>$A$49:$A$89</formula1>
    </dataValidation>
  </dataValidations>
  <printOptions horizontalCentered="1"/>
  <pageMargins left="0.74803149606299213" right="0.74803149606299213" top="0.98425196850393704" bottom="0.98425196850393704" header="0.51181102362204722" footer="0.51181102362204722"/>
  <pageSetup paperSize="9" scale="93" orientation="portrait" r:id="rId1"/>
  <headerFooter scaleWithDoc="0" alignWithMargins="0">
    <oddHeader>&amp;L&amp;"-,Regular"&amp;8&amp;F&amp;R&amp;"-,Regular"&amp;8&amp;A
____________________________________________________________________________</oddHeader>
    <oddFooter>&amp;L&amp;"-,Regular"&amp;8___________________________________________________________________________________
NZ Transport Agency’s Economic evaluation manual 
Effective from Jul 2013</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1280997FB197D439016D66643BF045C" ma:contentTypeVersion="17" ma:contentTypeDescription="Create a new document." ma:contentTypeScope="" ma:versionID="0a51b0c77653501b02f08d7398b58bb9">
  <xsd:schema xmlns:xsd="http://www.w3.org/2001/XMLSchema" xmlns:xs="http://www.w3.org/2001/XMLSchema" xmlns:p="http://schemas.microsoft.com/office/2006/metadata/properties" xmlns:ns2="610edd1d-c37b-469a-931b-7a7fbdbef28d" xmlns:ns3="fe711059-3473-4d0a-bf90-08974e90274a" targetNamespace="http://schemas.microsoft.com/office/2006/metadata/properties" ma:root="true" ma:fieldsID="24d195a3041fb1f794033f441f033a9a" ns2:_="" ns3:_="">
    <xsd:import namespace="610edd1d-c37b-469a-931b-7a7fbdbef28d"/>
    <xsd:import namespace="fe711059-3473-4d0a-bf90-08974e90274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Archiv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0edd1d-c37b-469a-931b-7a7fbdbef2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b08afcf-b03d-4cde-ac2f-5a995d13970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Archive" ma:index="20" nillable="true" ma:displayName="Archive" ma:list="UserInfo" ma:SharePointGroup="0" ma:internalName="Archiv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711059-3473-4d0a-bf90-08974e90274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870b2c0-bd8f-42f3-84a3-714cde1d916b}" ma:internalName="TaxCatchAll" ma:showField="CatchAllData" ma:web="fe711059-3473-4d0a-bf90-08974e90274a">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e711059-3473-4d0a-bf90-08974e90274a" xsi:nil="true"/>
    <Archive xmlns="610edd1d-c37b-469a-931b-7a7fbdbef28d">
      <UserInfo>
        <DisplayName/>
        <AccountId xsi:nil="true"/>
        <AccountType/>
      </UserInfo>
    </Archive>
    <lcf76f155ced4ddcb4097134ff3c332f xmlns="610edd1d-c37b-469a-931b-7a7fbdbef2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EFF9A4A-192A-41BC-82F7-99847D46638E}">
  <ds:schemaRefs>
    <ds:schemaRef ds:uri="http://schemas.microsoft.com/sharepoint/v3/contenttype/forms"/>
  </ds:schemaRefs>
</ds:datastoreItem>
</file>

<file path=customXml/itemProps2.xml><?xml version="1.0" encoding="utf-8"?>
<ds:datastoreItem xmlns:ds="http://schemas.openxmlformats.org/officeDocument/2006/customXml" ds:itemID="{73765319-AF15-4E6B-8926-983E1F1A72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0edd1d-c37b-469a-931b-7a7fbdbef28d"/>
    <ds:schemaRef ds:uri="fe711059-3473-4d0a-bf90-08974e9027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85102F-2536-46FF-9ECB-709E87AFDB07}">
  <ds:schemaRefs>
    <ds:schemaRef ds:uri="http://www.w3.org/XML/1998/namespace"/>
    <ds:schemaRef ds:uri="http://schemas.openxmlformats.org/package/2006/metadata/core-properties"/>
    <ds:schemaRef ds:uri="http://schemas.microsoft.com/office/2006/metadata/propertie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fe711059-3473-4d0a-bf90-08974e90274a"/>
    <ds:schemaRef ds:uri="610edd1d-c37b-469a-931b-7a7fbdbef2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38</vt:i4>
      </vt:variant>
    </vt:vector>
  </HeadingPairs>
  <TitlesOfParts>
    <vt:vector size="58" baseType="lpstr">
      <vt:lpstr>AST</vt:lpstr>
      <vt:lpstr>Benefits Framework</vt:lpstr>
      <vt:lpstr>Conversion</vt:lpstr>
      <vt:lpstr>W1 - Summary_Upload</vt:lpstr>
      <vt:lpstr>overview &amp; guide</vt:lpstr>
      <vt:lpstr>SP11-1</vt:lpstr>
      <vt:lpstr>SP11-2</vt:lpstr>
      <vt:lpstr>SP11-3 (1)</vt:lpstr>
      <vt:lpstr>SP11-3 (2)</vt:lpstr>
      <vt:lpstr>SP11-3 (3)</vt:lpstr>
      <vt:lpstr>SP11-4</vt:lpstr>
      <vt:lpstr>SP11-5</vt:lpstr>
      <vt:lpstr>SP11-6</vt:lpstr>
      <vt:lpstr>SP11-7</vt:lpstr>
      <vt:lpstr>SP11-8</vt:lpstr>
      <vt:lpstr>Tables NEW TABLES</vt:lpstr>
      <vt:lpstr>Cost Estimates</vt:lpstr>
      <vt:lpstr>Sensitivity</vt:lpstr>
      <vt:lpstr>Working</vt:lpstr>
      <vt:lpstr>Notes</vt:lpstr>
      <vt:lpstr>'SP11-6'!_Ref45227424</vt:lpstr>
      <vt:lpstr>_sp111</vt:lpstr>
      <vt:lpstr>_sp112</vt:lpstr>
      <vt:lpstr>_sp1131</vt:lpstr>
      <vt:lpstr>_sp1132</vt:lpstr>
      <vt:lpstr>_sp1133</vt:lpstr>
      <vt:lpstr>_sp114</vt:lpstr>
      <vt:lpstr>_sp115</vt:lpstr>
      <vt:lpstr>_sp116</vt:lpstr>
      <vt:lpstr>_sp117</vt:lpstr>
      <vt:lpstr>_sp118</vt:lpstr>
      <vt:lpstr>'Tables NEW TABLES'!_Toc149723404</vt:lpstr>
      <vt:lpstr>'Tables NEW TABLES'!_Toc149723405</vt:lpstr>
      <vt:lpstr>'Tables NEW TABLES'!_Toc149723406</vt:lpstr>
      <vt:lpstr>'Tables NEW TABLES'!_Toc149723407</vt:lpstr>
      <vt:lpstr>'Tables NEW TABLES'!_Toc149723408</vt:lpstr>
      <vt:lpstr>'Tables NEW TABLES'!_Toc149723409</vt:lpstr>
      <vt:lpstr>'Tables NEW TABLES'!_Toc18127489</vt:lpstr>
      <vt:lpstr>'Tables NEW TABLES'!_Toc18207243</vt:lpstr>
      <vt:lpstr>'Tables NEW TABLES'!_Toc18207244</vt:lpstr>
      <vt:lpstr>'Tables NEW TABLES'!_Toc18207246</vt:lpstr>
      <vt:lpstr>'Tables NEW TABLES'!_Toc18207247</vt:lpstr>
      <vt:lpstr>'Tables NEW TABLES'!_Toc18207248</vt:lpstr>
      <vt:lpstr>'Tables NEW TABLES'!_Toc18207249</vt:lpstr>
      <vt:lpstr>'Tables NEW TABLES'!_Toc18207251</vt:lpstr>
      <vt:lpstr>'Tables NEW TABLES'!_Toc18207253</vt:lpstr>
      <vt:lpstr>'Tables NEW TABLES'!_Toc18207255</vt:lpstr>
      <vt:lpstr>'overview &amp; guide'!Print_Area</vt:lpstr>
      <vt:lpstr>'SP11-1'!Print_Area</vt:lpstr>
      <vt:lpstr>'SP11-2'!Print_Area</vt:lpstr>
      <vt:lpstr>'SP11-3 (1)'!Print_Area</vt:lpstr>
      <vt:lpstr>'SP11-3 (2)'!Print_Area</vt:lpstr>
      <vt:lpstr>'SP11-3 (3)'!Print_Area</vt:lpstr>
      <vt:lpstr>'SP11-4'!Print_Area</vt:lpstr>
      <vt:lpstr>'SP11-5'!Print_Area</vt:lpstr>
      <vt:lpstr>'SP11-6'!Print_Area</vt:lpstr>
      <vt:lpstr>'SP11-7'!Print_Area</vt:lpstr>
      <vt:lpstr>'W1 - Summary_Upload'!Print_Area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Kilonback</dc:creator>
  <cp:keywords/>
  <dc:description/>
  <cp:lastModifiedBy>Bryce Hartell</cp:lastModifiedBy>
  <cp:revision/>
  <dcterms:created xsi:type="dcterms:W3CDTF">2020-05-25T00:37:33Z</dcterms:created>
  <dcterms:modified xsi:type="dcterms:W3CDTF">2024-03-07T01:41:15Z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0x010100D1280997FB197D439016D66643BF045C</vt:lpwstr>
  </property>
  <property fmtid="{D5CDD505-2E9C-101B-9397-08002B2CF9AE}" pid="3" name="MediaServiceImageTags">
    <vt:lpwstr/>
  </property>
</Properties>
</file>